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hidePivotFieldList="1" defaultThemeVersion="124226"/>
  <mc:AlternateContent xmlns:mc="http://schemas.openxmlformats.org/markup-compatibility/2006">
    <mc:Choice Requires="x15">
      <x15ac:absPath xmlns:x15ac="http://schemas.microsoft.com/office/spreadsheetml/2010/11/ac" url="https://pecom.sharepoint.com/sites/CotizacionessucursalOESTE/Documentos compartidos/General/04 - 2024/1-Cotizaciones y licitaciones/37. YPF. TQ_Pta_Int_ Ttos_Mendoza/2. Info Mgue/Análisis Mercado Nalco YPF/"/>
    </mc:Choice>
  </mc:AlternateContent>
  <xr:revisionPtr revIDLastSave="56" documentId="11_B78F8E8A6FC5548B9D0CBAB6D2C0874DE0CE3CCA" xr6:coauthVersionLast="47" xr6:coauthVersionMax="47" xr10:uidLastSave="{6A511086-DB60-48C5-BF24-D5D6B8F33871}"/>
  <bookViews>
    <workbookView xWindow="-120" yWindow="-120" windowWidth="24240" windowHeight="13140" xr2:uid="{00000000-000D-0000-FFFF-FFFF00000000}"/>
  </bookViews>
  <sheets>
    <sheet name="Mercado YPF" sheetId="18" r:id="rId1"/>
    <sheet name="Hoja1" sheetId="19" r:id="rId2"/>
    <sheet name="Tratamientos" sheetId="1" r:id="rId3"/>
    <sheet name="BCConc" sheetId="9" r:id="rId4"/>
    <sheet name="Nov" sheetId="11" state="hidden" r:id="rId5"/>
    <sheet name="Dic" sheetId="14" state="hidden" r:id="rId6"/>
    <sheet name="EstimaciónYPF" sheetId="15" r:id="rId7"/>
    <sheet name="LP" sheetId="7" r:id="rId8"/>
    <sheet name="Análisis" sheetId="17" r:id="rId9"/>
    <sheet name="CtrlBat" sheetId="6" state="hidden" r:id="rId10"/>
    <sheet name="CtrlPozo" sheetId="5" state="hidden" r:id="rId11"/>
  </sheets>
  <definedNames>
    <definedName name="_xlnm._FilterDatabase" localSheetId="8" hidden="1">Análisis!$A$3:$H$35</definedName>
    <definedName name="_xlnm._FilterDatabase" localSheetId="10" hidden="1">CtrlPozo!$A$1:$O$483</definedName>
    <definedName name="_xlnm._FilterDatabase" localSheetId="7" hidden="1">LP!$A$2:$I$34</definedName>
    <definedName name="_xlnm._FilterDatabase" localSheetId="2" hidden="1">Tratamientos!$A$2:$V$259</definedName>
  </definedNames>
  <calcPr calcId="191029"/>
  <pivotCaches>
    <pivotCache cacheId="0" r:id="rId12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3" i="18" l="1"/>
  <c r="AB44" i="17"/>
  <c r="Z44" i="17"/>
  <c r="AB1" i="17"/>
  <c r="Z1" i="17"/>
  <c r="E4" i="7"/>
  <c r="T91" i="17"/>
  <c r="B92" i="17" s="1"/>
  <c r="B23" i="18"/>
  <c r="C23" i="18"/>
  <c r="A23" i="18"/>
  <c r="AB35" i="17" l="1"/>
  <c r="U201" i="1"/>
  <c r="V201" i="1" s="1"/>
  <c r="U202" i="1"/>
  <c r="V202" i="1" s="1"/>
  <c r="U203" i="1"/>
  <c r="V203" i="1" s="1"/>
  <c r="U204" i="1"/>
  <c r="V204" i="1" s="1"/>
  <c r="U205" i="1"/>
  <c r="V205" i="1" s="1"/>
  <c r="U206" i="1"/>
  <c r="V206" i="1" s="1"/>
  <c r="U207" i="1"/>
  <c r="V207" i="1" s="1"/>
  <c r="U208" i="1"/>
  <c r="V208" i="1" s="1"/>
  <c r="U209" i="1"/>
  <c r="V209" i="1" s="1"/>
  <c r="U210" i="1"/>
  <c r="V210" i="1" s="1"/>
  <c r="U211" i="1"/>
  <c r="V211" i="1" s="1"/>
  <c r="U212" i="1"/>
  <c r="V212" i="1" s="1"/>
  <c r="U213" i="1"/>
  <c r="V213" i="1" s="1"/>
  <c r="U214" i="1"/>
  <c r="V214" i="1" s="1"/>
  <c r="U215" i="1"/>
  <c r="V215" i="1" s="1"/>
  <c r="U216" i="1"/>
  <c r="V216" i="1" s="1"/>
  <c r="U217" i="1"/>
  <c r="V217" i="1" s="1"/>
  <c r="U218" i="1"/>
  <c r="V218" i="1" s="1"/>
  <c r="U219" i="1"/>
  <c r="V219" i="1" s="1"/>
  <c r="U220" i="1"/>
  <c r="V220" i="1" s="1"/>
  <c r="U221" i="1"/>
  <c r="V221" i="1" s="1"/>
  <c r="U222" i="1"/>
  <c r="V222" i="1" s="1"/>
  <c r="U223" i="1"/>
  <c r="V223" i="1" s="1"/>
  <c r="U224" i="1"/>
  <c r="V224" i="1" s="1"/>
  <c r="U225" i="1"/>
  <c r="V225" i="1" s="1"/>
  <c r="U226" i="1"/>
  <c r="V226" i="1" s="1"/>
  <c r="U227" i="1"/>
  <c r="V227" i="1" s="1"/>
  <c r="U228" i="1"/>
  <c r="V228" i="1" s="1"/>
  <c r="U229" i="1"/>
  <c r="V229" i="1" s="1"/>
  <c r="U230" i="1"/>
  <c r="V230" i="1" s="1"/>
  <c r="U231" i="1"/>
  <c r="V231" i="1" s="1"/>
  <c r="U232" i="1"/>
  <c r="V232" i="1" s="1"/>
  <c r="U233" i="1"/>
  <c r="V233" i="1" s="1"/>
  <c r="U234" i="1"/>
  <c r="V234" i="1" s="1"/>
  <c r="U235" i="1"/>
  <c r="V235" i="1" s="1"/>
  <c r="U236" i="1"/>
  <c r="V236" i="1" s="1"/>
  <c r="U237" i="1"/>
  <c r="V237" i="1" s="1"/>
  <c r="U238" i="1"/>
  <c r="V238" i="1" s="1"/>
  <c r="U239" i="1"/>
  <c r="V239" i="1" s="1"/>
  <c r="U240" i="1"/>
  <c r="V240" i="1" s="1"/>
  <c r="U241" i="1"/>
  <c r="V241" i="1" s="1"/>
  <c r="U242" i="1"/>
  <c r="V242" i="1" s="1"/>
  <c r="U243" i="1"/>
  <c r="V243" i="1" s="1"/>
  <c r="U244" i="1"/>
  <c r="V244" i="1" s="1"/>
  <c r="U245" i="1"/>
  <c r="V245" i="1" s="1"/>
  <c r="U246" i="1"/>
  <c r="V246" i="1" s="1"/>
  <c r="U247" i="1"/>
  <c r="V247" i="1" s="1"/>
  <c r="U248" i="1"/>
  <c r="V248" i="1" s="1"/>
  <c r="U249" i="1"/>
  <c r="V249" i="1" s="1"/>
  <c r="U250" i="1"/>
  <c r="V250" i="1" s="1"/>
  <c r="U251" i="1"/>
  <c r="V251" i="1" s="1"/>
  <c r="U252" i="1"/>
  <c r="V252" i="1" s="1"/>
  <c r="U253" i="1"/>
  <c r="V253" i="1" s="1"/>
  <c r="U254" i="1"/>
  <c r="V254" i="1" s="1"/>
  <c r="U255" i="1"/>
  <c r="V255" i="1" s="1"/>
  <c r="U256" i="1"/>
  <c r="V256" i="1" s="1"/>
  <c r="U257" i="1"/>
  <c r="V257" i="1" s="1"/>
  <c r="U258" i="1"/>
  <c r="V258" i="1" s="1"/>
  <c r="U259" i="1"/>
  <c r="V259" i="1" s="1"/>
  <c r="U3" i="1"/>
  <c r="V3" i="1" s="1"/>
  <c r="U4" i="1"/>
  <c r="V4" i="1" s="1"/>
  <c r="U5" i="1"/>
  <c r="V5" i="1" s="1"/>
  <c r="U6" i="1"/>
  <c r="V6" i="1" s="1"/>
  <c r="U7" i="1"/>
  <c r="V7" i="1" s="1"/>
  <c r="U8" i="1"/>
  <c r="V8" i="1" s="1"/>
  <c r="U9" i="1"/>
  <c r="V9" i="1" s="1"/>
  <c r="U10" i="1"/>
  <c r="V10" i="1" s="1"/>
  <c r="U11" i="1"/>
  <c r="V11" i="1" s="1"/>
  <c r="U12" i="1"/>
  <c r="V12" i="1" s="1"/>
  <c r="U13" i="1"/>
  <c r="V13" i="1" s="1"/>
  <c r="U14" i="1"/>
  <c r="V14" i="1" s="1"/>
  <c r="U15" i="1"/>
  <c r="V15" i="1" s="1"/>
  <c r="U16" i="1"/>
  <c r="V16" i="1" s="1"/>
  <c r="U17" i="1"/>
  <c r="V17" i="1" s="1"/>
  <c r="U18" i="1"/>
  <c r="V18" i="1" s="1"/>
  <c r="U19" i="1"/>
  <c r="V19" i="1" s="1"/>
  <c r="U20" i="1"/>
  <c r="V20" i="1" s="1"/>
  <c r="U21" i="1"/>
  <c r="V21" i="1" s="1"/>
  <c r="U22" i="1"/>
  <c r="V22" i="1" s="1"/>
  <c r="U23" i="1"/>
  <c r="V23" i="1" s="1"/>
  <c r="U24" i="1"/>
  <c r="V24" i="1" s="1"/>
  <c r="U25" i="1"/>
  <c r="V25" i="1" s="1"/>
  <c r="U26" i="1"/>
  <c r="V26" i="1" s="1"/>
  <c r="U27" i="1"/>
  <c r="V27" i="1" s="1"/>
  <c r="U28" i="1"/>
  <c r="V28" i="1" s="1"/>
  <c r="U29" i="1"/>
  <c r="V29" i="1" s="1"/>
  <c r="U30" i="1"/>
  <c r="V30" i="1" s="1"/>
  <c r="U31" i="1"/>
  <c r="V31" i="1" s="1"/>
  <c r="U32" i="1"/>
  <c r="V32" i="1" s="1"/>
  <c r="U33" i="1"/>
  <c r="V33" i="1" s="1"/>
  <c r="U34" i="1"/>
  <c r="V34" i="1" s="1"/>
  <c r="U35" i="1"/>
  <c r="V35" i="1" s="1"/>
  <c r="U36" i="1"/>
  <c r="V36" i="1" s="1"/>
  <c r="U37" i="1"/>
  <c r="V37" i="1" s="1"/>
  <c r="U38" i="1"/>
  <c r="V38" i="1" s="1"/>
  <c r="U39" i="1"/>
  <c r="V39" i="1" s="1"/>
  <c r="U40" i="1"/>
  <c r="V40" i="1" s="1"/>
  <c r="U41" i="1"/>
  <c r="V41" i="1" s="1"/>
  <c r="U42" i="1"/>
  <c r="V42" i="1" s="1"/>
  <c r="U43" i="1"/>
  <c r="V43" i="1" s="1"/>
  <c r="U44" i="1"/>
  <c r="V44" i="1" s="1"/>
  <c r="U45" i="1"/>
  <c r="V45" i="1" s="1"/>
  <c r="U46" i="1"/>
  <c r="V46" i="1" s="1"/>
  <c r="U47" i="1"/>
  <c r="V47" i="1" s="1"/>
  <c r="U48" i="1"/>
  <c r="V48" i="1" s="1"/>
  <c r="U49" i="1"/>
  <c r="V49" i="1" s="1"/>
  <c r="U50" i="1"/>
  <c r="V50" i="1" s="1"/>
  <c r="U51" i="1"/>
  <c r="V51" i="1" s="1"/>
  <c r="U52" i="1"/>
  <c r="V52" i="1" s="1"/>
  <c r="U53" i="1"/>
  <c r="V53" i="1" s="1"/>
  <c r="U54" i="1"/>
  <c r="V54" i="1" s="1"/>
  <c r="U55" i="1"/>
  <c r="V55" i="1" s="1"/>
  <c r="U56" i="1"/>
  <c r="V56" i="1" s="1"/>
  <c r="U57" i="1"/>
  <c r="V57" i="1" s="1"/>
  <c r="U58" i="1"/>
  <c r="V58" i="1" s="1"/>
  <c r="U59" i="1"/>
  <c r="V59" i="1" s="1"/>
  <c r="U60" i="1"/>
  <c r="V60" i="1" s="1"/>
  <c r="U61" i="1"/>
  <c r="V61" i="1" s="1"/>
  <c r="U62" i="1"/>
  <c r="V62" i="1" s="1"/>
  <c r="U63" i="1"/>
  <c r="V63" i="1" s="1"/>
  <c r="U64" i="1"/>
  <c r="V64" i="1" s="1"/>
  <c r="U65" i="1"/>
  <c r="V65" i="1" s="1"/>
  <c r="U66" i="1"/>
  <c r="V66" i="1" s="1"/>
  <c r="U67" i="1"/>
  <c r="V67" i="1" s="1"/>
  <c r="U68" i="1"/>
  <c r="V68" i="1" s="1"/>
  <c r="U69" i="1"/>
  <c r="V69" i="1" s="1"/>
  <c r="U70" i="1"/>
  <c r="V70" i="1" s="1"/>
  <c r="U71" i="1"/>
  <c r="V71" i="1" s="1"/>
  <c r="U72" i="1"/>
  <c r="V72" i="1" s="1"/>
  <c r="U73" i="1"/>
  <c r="V73" i="1" s="1"/>
  <c r="U74" i="1"/>
  <c r="V74" i="1" s="1"/>
  <c r="U75" i="1"/>
  <c r="V75" i="1" s="1"/>
  <c r="U76" i="1"/>
  <c r="V76" i="1" s="1"/>
  <c r="U77" i="1"/>
  <c r="V77" i="1" s="1"/>
  <c r="U78" i="1"/>
  <c r="V78" i="1" s="1"/>
  <c r="U79" i="1"/>
  <c r="V79" i="1" s="1"/>
  <c r="U80" i="1"/>
  <c r="V80" i="1" s="1"/>
  <c r="U81" i="1"/>
  <c r="V81" i="1" s="1"/>
  <c r="U82" i="1"/>
  <c r="V82" i="1" s="1"/>
  <c r="U83" i="1"/>
  <c r="V83" i="1" s="1"/>
  <c r="U84" i="1"/>
  <c r="V84" i="1" s="1"/>
  <c r="U85" i="1"/>
  <c r="V85" i="1" s="1"/>
  <c r="U86" i="1"/>
  <c r="V86" i="1" s="1"/>
  <c r="U87" i="1"/>
  <c r="V87" i="1" s="1"/>
  <c r="U88" i="1"/>
  <c r="V88" i="1" s="1"/>
  <c r="U89" i="1"/>
  <c r="V89" i="1" s="1"/>
  <c r="U90" i="1"/>
  <c r="V90" i="1" s="1"/>
  <c r="U91" i="1"/>
  <c r="V91" i="1" s="1"/>
  <c r="U92" i="1"/>
  <c r="V92" i="1" s="1"/>
  <c r="U93" i="1"/>
  <c r="V93" i="1" s="1"/>
  <c r="U94" i="1"/>
  <c r="V94" i="1" s="1"/>
  <c r="U95" i="1"/>
  <c r="V95" i="1" s="1"/>
  <c r="U96" i="1"/>
  <c r="V96" i="1" s="1"/>
  <c r="U97" i="1"/>
  <c r="V97" i="1" s="1"/>
  <c r="U98" i="1"/>
  <c r="V98" i="1" s="1"/>
  <c r="U99" i="1"/>
  <c r="V99" i="1" s="1"/>
  <c r="U100" i="1"/>
  <c r="V100" i="1" s="1"/>
  <c r="U101" i="1"/>
  <c r="V101" i="1" s="1"/>
  <c r="U102" i="1"/>
  <c r="V102" i="1" s="1"/>
  <c r="U103" i="1"/>
  <c r="V103" i="1" s="1"/>
  <c r="U104" i="1"/>
  <c r="V104" i="1" s="1"/>
  <c r="U105" i="1"/>
  <c r="V105" i="1" s="1"/>
  <c r="U106" i="1"/>
  <c r="V106" i="1" s="1"/>
  <c r="U107" i="1"/>
  <c r="V107" i="1" s="1"/>
  <c r="U108" i="1"/>
  <c r="V108" i="1" s="1"/>
  <c r="U109" i="1"/>
  <c r="V109" i="1" s="1"/>
  <c r="U110" i="1"/>
  <c r="V110" i="1" s="1"/>
  <c r="U111" i="1"/>
  <c r="V111" i="1" s="1"/>
  <c r="U112" i="1"/>
  <c r="V112" i="1" s="1"/>
  <c r="U113" i="1"/>
  <c r="V113" i="1" s="1"/>
  <c r="U114" i="1"/>
  <c r="V114" i="1" s="1"/>
  <c r="U115" i="1"/>
  <c r="V115" i="1" s="1"/>
  <c r="U116" i="1"/>
  <c r="V116" i="1" s="1"/>
  <c r="U117" i="1"/>
  <c r="V117" i="1" s="1"/>
  <c r="U118" i="1"/>
  <c r="V118" i="1" s="1"/>
  <c r="U119" i="1"/>
  <c r="V119" i="1" s="1"/>
  <c r="U120" i="1"/>
  <c r="V120" i="1" s="1"/>
  <c r="U121" i="1"/>
  <c r="V121" i="1" s="1"/>
  <c r="U122" i="1"/>
  <c r="V122" i="1" s="1"/>
  <c r="U123" i="1"/>
  <c r="V123" i="1" s="1"/>
  <c r="U124" i="1"/>
  <c r="V124" i="1" s="1"/>
  <c r="U125" i="1"/>
  <c r="V125" i="1" s="1"/>
  <c r="U126" i="1"/>
  <c r="V126" i="1" s="1"/>
  <c r="U127" i="1"/>
  <c r="V127" i="1" s="1"/>
  <c r="U128" i="1"/>
  <c r="V128" i="1" s="1"/>
  <c r="U129" i="1"/>
  <c r="V129" i="1" s="1"/>
  <c r="U130" i="1"/>
  <c r="V130" i="1" s="1"/>
  <c r="U131" i="1"/>
  <c r="V131" i="1" s="1"/>
  <c r="U132" i="1"/>
  <c r="V132" i="1" s="1"/>
  <c r="U133" i="1"/>
  <c r="V133" i="1" s="1"/>
  <c r="U134" i="1"/>
  <c r="V134" i="1" s="1"/>
  <c r="U135" i="1"/>
  <c r="V135" i="1" s="1"/>
  <c r="U136" i="1"/>
  <c r="V136" i="1" s="1"/>
  <c r="U137" i="1"/>
  <c r="V137" i="1" s="1"/>
  <c r="U138" i="1"/>
  <c r="V138" i="1" s="1"/>
  <c r="U139" i="1"/>
  <c r="V139" i="1" s="1"/>
  <c r="U140" i="1"/>
  <c r="V140" i="1" s="1"/>
  <c r="U141" i="1"/>
  <c r="V141" i="1" s="1"/>
  <c r="U142" i="1"/>
  <c r="V142" i="1" s="1"/>
  <c r="U143" i="1"/>
  <c r="V143" i="1" s="1"/>
  <c r="U144" i="1"/>
  <c r="V144" i="1" s="1"/>
  <c r="U145" i="1"/>
  <c r="V145" i="1" s="1"/>
  <c r="U146" i="1"/>
  <c r="V146" i="1" s="1"/>
  <c r="U147" i="1"/>
  <c r="V147" i="1" s="1"/>
  <c r="U148" i="1"/>
  <c r="V148" i="1" s="1"/>
  <c r="U149" i="1"/>
  <c r="V149" i="1" s="1"/>
  <c r="U150" i="1"/>
  <c r="V150" i="1" s="1"/>
  <c r="U151" i="1"/>
  <c r="V151" i="1" s="1"/>
  <c r="U152" i="1"/>
  <c r="V152" i="1" s="1"/>
  <c r="U153" i="1"/>
  <c r="V153" i="1" s="1"/>
  <c r="U154" i="1"/>
  <c r="V154" i="1" s="1"/>
  <c r="U155" i="1"/>
  <c r="V155" i="1" s="1"/>
  <c r="U156" i="1"/>
  <c r="V156" i="1" s="1"/>
  <c r="U157" i="1"/>
  <c r="V157" i="1" s="1"/>
  <c r="U158" i="1"/>
  <c r="V158" i="1" s="1"/>
  <c r="U159" i="1"/>
  <c r="V159" i="1" s="1"/>
  <c r="U160" i="1"/>
  <c r="V160" i="1" s="1"/>
  <c r="U161" i="1"/>
  <c r="V161" i="1" s="1"/>
  <c r="U162" i="1"/>
  <c r="V162" i="1" s="1"/>
  <c r="U163" i="1"/>
  <c r="V163" i="1" s="1"/>
  <c r="U164" i="1"/>
  <c r="V164" i="1" s="1"/>
  <c r="U165" i="1"/>
  <c r="V165" i="1" s="1"/>
  <c r="U166" i="1"/>
  <c r="V166" i="1" s="1"/>
  <c r="U167" i="1"/>
  <c r="V167" i="1" s="1"/>
  <c r="U168" i="1"/>
  <c r="V168" i="1" s="1"/>
  <c r="U169" i="1"/>
  <c r="V169" i="1" s="1"/>
  <c r="U170" i="1"/>
  <c r="V170" i="1" s="1"/>
  <c r="U171" i="1"/>
  <c r="V171" i="1" s="1"/>
  <c r="U172" i="1"/>
  <c r="V172" i="1" s="1"/>
  <c r="U173" i="1"/>
  <c r="V173" i="1" s="1"/>
  <c r="U174" i="1"/>
  <c r="V174" i="1" s="1"/>
  <c r="U175" i="1"/>
  <c r="V175" i="1" s="1"/>
  <c r="U176" i="1"/>
  <c r="V176" i="1" s="1"/>
  <c r="U177" i="1"/>
  <c r="V177" i="1" s="1"/>
  <c r="U178" i="1"/>
  <c r="V178" i="1" s="1"/>
  <c r="U179" i="1"/>
  <c r="V179" i="1" s="1"/>
  <c r="U180" i="1"/>
  <c r="V180" i="1" s="1"/>
  <c r="U181" i="1"/>
  <c r="V181" i="1" s="1"/>
  <c r="U182" i="1"/>
  <c r="V182" i="1" s="1"/>
  <c r="U183" i="1"/>
  <c r="V183" i="1" s="1"/>
  <c r="U184" i="1"/>
  <c r="V184" i="1" s="1"/>
  <c r="U185" i="1"/>
  <c r="V185" i="1" s="1"/>
  <c r="U186" i="1"/>
  <c r="V186" i="1" s="1"/>
  <c r="U187" i="1"/>
  <c r="V187" i="1" s="1"/>
  <c r="U188" i="1"/>
  <c r="V188" i="1" s="1"/>
  <c r="U189" i="1"/>
  <c r="V189" i="1" s="1"/>
  <c r="U190" i="1"/>
  <c r="V190" i="1" s="1"/>
  <c r="U191" i="1"/>
  <c r="V191" i="1" s="1"/>
  <c r="U192" i="1"/>
  <c r="V192" i="1" s="1"/>
  <c r="U193" i="1"/>
  <c r="V193" i="1" s="1"/>
  <c r="U194" i="1"/>
  <c r="V194" i="1" s="1"/>
  <c r="U195" i="1"/>
  <c r="V195" i="1" s="1"/>
  <c r="U196" i="1"/>
  <c r="V196" i="1" s="1"/>
  <c r="U197" i="1"/>
  <c r="V197" i="1" s="1"/>
  <c r="U198" i="1"/>
  <c r="V198" i="1" s="1"/>
  <c r="U199" i="1"/>
  <c r="V199" i="1" s="1"/>
  <c r="U200" i="1"/>
  <c r="V200" i="1" s="1"/>
  <c r="I48" i="17"/>
  <c r="I49" i="17"/>
  <c r="I50" i="17"/>
  <c r="I51" i="17"/>
  <c r="I52" i="17"/>
  <c r="I53" i="17"/>
  <c r="I54" i="17"/>
  <c r="I55" i="17"/>
  <c r="I56" i="17"/>
  <c r="I57" i="17"/>
  <c r="I58" i="17"/>
  <c r="I59" i="17"/>
  <c r="I60" i="17"/>
  <c r="I61" i="17"/>
  <c r="I62" i="17"/>
  <c r="I47" i="17"/>
  <c r="I5" i="17"/>
  <c r="I6" i="17"/>
  <c r="I7" i="17"/>
  <c r="I8" i="17"/>
  <c r="I9" i="17"/>
  <c r="I10" i="17"/>
  <c r="I11" i="17"/>
  <c r="I12" i="17"/>
  <c r="I13" i="17"/>
  <c r="I14" i="17"/>
  <c r="I15" i="17"/>
  <c r="I16" i="17"/>
  <c r="I17" i="17"/>
  <c r="I18" i="17"/>
  <c r="I19" i="17"/>
  <c r="I20" i="17"/>
  <c r="I21" i="17"/>
  <c r="I22" i="17"/>
  <c r="I23" i="17"/>
  <c r="I24" i="17"/>
  <c r="I25" i="17"/>
  <c r="I26" i="17"/>
  <c r="I27" i="17"/>
  <c r="I28" i="17"/>
  <c r="I29" i="17"/>
  <c r="I30" i="17"/>
  <c r="I31" i="17"/>
  <c r="I32" i="17"/>
  <c r="I33" i="17"/>
  <c r="I34" i="17"/>
  <c r="I4" i="17"/>
  <c r="B18" i="18" l="1"/>
  <c r="B14" i="18"/>
  <c r="B19" i="18"/>
  <c r="B15" i="18"/>
  <c r="B16" i="18"/>
  <c r="B13" i="18"/>
  <c r="B17" i="18"/>
  <c r="K5" i="15"/>
  <c r="K6" i="15"/>
  <c r="K7" i="15"/>
  <c r="K8" i="15"/>
  <c r="K4" i="15"/>
  <c r="J5" i="15"/>
  <c r="J6" i="15"/>
  <c r="J7" i="15"/>
  <c r="J8" i="15"/>
  <c r="J4" i="15"/>
  <c r="B38" i="15"/>
  <c r="E6" i="18" s="1"/>
  <c r="D38" i="15"/>
  <c r="D6" i="18" s="1"/>
  <c r="C3" i="7"/>
  <c r="I8" i="15" l="1"/>
  <c r="I7" i="15"/>
  <c r="I6" i="15"/>
  <c r="I5" i="15"/>
  <c r="I4" i="15"/>
  <c r="F5" i="15"/>
  <c r="F6" i="15"/>
  <c r="C6" i="15" s="1"/>
  <c r="F7" i="15"/>
  <c r="C7" i="15" s="1"/>
  <c r="F8" i="15"/>
  <c r="C8" i="15" s="1"/>
  <c r="F4" i="15"/>
  <c r="A51" i="11"/>
  <c r="A52" i="11"/>
  <c r="A39" i="14"/>
  <c r="A48" i="14"/>
  <c r="B47" i="14"/>
  <c r="A47" i="14" s="1"/>
  <c r="B38" i="14"/>
  <c r="A38" i="14" s="1"/>
  <c r="B16" i="14"/>
  <c r="B15" i="14" s="1"/>
  <c r="B14" i="14" s="1"/>
  <c r="B13" i="14" s="1"/>
  <c r="B12" i="14" s="1"/>
  <c r="B11" i="14" s="1"/>
  <c r="B10" i="14" s="1"/>
  <c r="B9" i="14" s="1"/>
  <c r="B51" i="11"/>
  <c r="B50" i="11" s="1"/>
  <c r="B49" i="11" l="1"/>
  <c r="A50" i="11"/>
  <c r="B46" i="14"/>
  <c r="C5" i="15"/>
  <c r="B37" i="14"/>
  <c r="C4" i="15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145" i="1"/>
  <c r="T146" i="1"/>
  <c r="T147" i="1"/>
  <c r="T148" i="1"/>
  <c r="T149" i="1"/>
  <c r="T150" i="1"/>
  <c r="T151" i="1"/>
  <c r="T152" i="1"/>
  <c r="T153" i="1"/>
  <c r="T154" i="1"/>
  <c r="T155" i="1"/>
  <c r="T156" i="1"/>
  <c r="T157" i="1"/>
  <c r="T158" i="1"/>
  <c r="T159" i="1"/>
  <c r="T160" i="1"/>
  <c r="T161" i="1"/>
  <c r="T162" i="1"/>
  <c r="T163" i="1"/>
  <c r="T164" i="1"/>
  <c r="T165" i="1"/>
  <c r="T166" i="1"/>
  <c r="T167" i="1"/>
  <c r="T168" i="1"/>
  <c r="T169" i="1"/>
  <c r="T170" i="1"/>
  <c r="T171" i="1"/>
  <c r="T172" i="1"/>
  <c r="T173" i="1"/>
  <c r="T174" i="1"/>
  <c r="T175" i="1"/>
  <c r="T176" i="1"/>
  <c r="T177" i="1"/>
  <c r="T178" i="1"/>
  <c r="T179" i="1"/>
  <c r="T180" i="1"/>
  <c r="T181" i="1"/>
  <c r="T182" i="1"/>
  <c r="T183" i="1"/>
  <c r="T184" i="1"/>
  <c r="T185" i="1"/>
  <c r="T186" i="1"/>
  <c r="T187" i="1"/>
  <c r="T188" i="1"/>
  <c r="T189" i="1"/>
  <c r="T190" i="1"/>
  <c r="T191" i="1"/>
  <c r="T192" i="1"/>
  <c r="T193" i="1"/>
  <c r="T194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T236" i="1"/>
  <c r="T237" i="1"/>
  <c r="T238" i="1"/>
  <c r="T239" i="1"/>
  <c r="T240" i="1"/>
  <c r="T241" i="1"/>
  <c r="T242" i="1"/>
  <c r="T243" i="1"/>
  <c r="T244" i="1"/>
  <c r="T245" i="1"/>
  <c r="T246" i="1"/>
  <c r="T247" i="1"/>
  <c r="T248" i="1"/>
  <c r="T249" i="1"/>
  <c r="T250" i="1"/>
  <c r="T251" i="1"/>
  <c r="T252" i="1"/>
  <c r="T253" i="1"/>
  <c r="T254" i="1"/>
  <c r="T255" i="1"/>
  <c r="T256" i="1"/>
  <c r="T257" i="1"/>
  <c r="T258" i="1"/>
  <c r="T259" i="1"/>
  <c r="T3" i="1"/>
  <c r="R129" i="1"/>
  <c r="R162" i="1"/>
  <c r="R163" i="1"/>
  <c r="R164" i="1"/>
  <c r="R165" i="1"/>
  <c r="R166" i="1"/>
  <c r="R167" i="1"/>
  <c r="R168" i="1"/>
  <c r="R169" i="1"/>
  <c r="R170" i="1"/>
  <c r="R171" i="1"/>
  <c r="R172" i="1"/>
  <c r="R173" i="1"/>
  <c r="R174" i="1"/>
  <c r="R175" i="1"/>
  <c r="R176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C31" i="17" s="1"/>
  <c r="R195" i="1"/>
  <c r="R196" i="1"/>
  <c r="H3" i="9"/>
  <c r="I3" i="9"/>
  <c r="J3" i="9"/>
  <c r="G3" i="9"/>
  <c r="H2" i="9"/>
  <c r="I2" i="9"/>
  <c r="J2" i="9"/>
  <c r="G2" i="9"/>
  <c r="G4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2" i="1"/>
  <c r="G83" i="1"/>
  <c r="G84" i="1"/>
  <c r="G85" i="1"/>
  <c r="G88" i="1"/>
  <c r="G89" i="1"/>
  <c r="G90" i="1"/>
  <c r="G91" i="1"/>
  <c r="G92" i="1"/>
  <c r="G93" i="1"/>
  <c r="G94" i="1"/>
  <c r="G100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39" i="1"/>
  <c r="G140" i="1"/>
  <c r="G141" i="1"/>
  <c r="G142" i="1"/>
  <c r="G144" i="1"/>
  <c r="G145" i="1"/>
  <c r="G150" i="1"/>
  <c r="G153" i="1"/>
  <c r="G154" i="1"/>
  <c r="G155" i="1"/>
  <c r="G156" i="1"/>
  <c r="G157" i="1"/>
  <c r="G158" i="1"/>
  <c r="G159" i="1"/>
  <c r="G3" i="1"/>
  <c r="F17" i="1"/>
  <c r="F18" i="1"/>
  <c r="F19" i="1"/>
  <c r="F57" i="1"/>
  <c r="F58" i="1"/>
  <c r="F64" i="1"/>
  <c r="F76" i="1"/>
  <c r="F77" i="1"/>
  <c r="F78" i="1"/>
  <c r="F79" i="1"/>
  <c r="F80" i="1"/>
  <c r="F93" i="1"/>
  <c r="F106" i="1"/>
  <c r="F107" i="1"/>
  <c r="F108" i="1"/>
  <c r="F114" i="1"/>
  <c r="F115" i="1"/>
  <c r="F116" i="1"/>
  <c r="F117" i="1"/>
  <c r="F118" i="1"/>
  <c r="F119" i="1"/>
  <c r="F120" i="1"/>
  <c r="F121" i="1"/>
  <c r="F122" i="1"/>
  <c r="F123" i="1"/>
  <c r="F124" i="1"/>
  <c r="C234" i="1"/>
  <c r="E234" i="1" s="1"/>
  <c r="E233" i="1" s="1"/>
  <c r="C233" i="1"/>
  <c r="G233" i="1" s="1"/>
  <c r="E55" i="1"/>
  <c r="F55" i="1" s="1"/>
  <c r="D55" i="1"/>
  <c r="E54" i="1"/>
  <c r="D54" i="1"/>
  <c r="E53" i="1"/>
  <c r="D53" i="1"/>
  <c r="E52" i="1"/>
  <c r="D52" i="1"/>
  <c r="E51" i="1"/>
  <c r="D51" i="1"/>
  <c r="E50" i="1"/>
  <c r="D50" i="1"/>
  <c r="E49" i="1"/>
  <c r="D49" i="1"/>
  <c r="E48" i="1"/>
  <c r="D48" i="1"/>
  <c r="E94" i="1"/>
  <c r="F94" i="1" s="1"/>
  <c r="D94" i="1"/>
  <c r="E93" i="1"/>
  <c r="D93" i="1"/>
  <c r="E89" i="1"/>
  <c r="F89" i="1" s="1"/>
  <c r="D89" i="1"/>
  <c r="E88" i="1"/>
  <c r="F88" i="1" s="1"/>
  <c r="D88" i="1"/>
  <c r="E92" i="1"/>
  <c r="D92" i="1"/>
  <c r="E91" i="1"/>
  <c r="D91" i="1"/>
  <c r="E90" i="1"/>
  <c r="D90" i="1"/>
  <c r="C243" i="1"/>
  <c r="E243" i="1" s="1"/>
  <c r="C196" i="1"/>
  <c r="E196" i="1" s="1"/>
  <c r="C195" i="1"/>
  <c r="C194" i="1"/>
  <c r="C99" i="1"/>
  <c r="E99" i="1" s="1"/>
  <c r="C98" i="1"/>
  <c r="E98" i="1" s="1"/>
  <c r="C97" i="1"/>
  <c r="E97" i="1" s="1"/>
  <c r="C96" i="1"/>
  <c r="G96" i="1" s="1"/>
  <c r="C95" i="1"/>
  <c r="E95" i="1" s="1"/>
  <c r="C254" i="1"/>
  <c r="E254" i="1" s="1"/>
  <c r="C161" i="1"/>
  <c r="E161" i="1" s="1"/>
  <c r="C160" i="1"/>
  <c r="G160" i="1" s="1"/>
  <c r="C138" i="1"/>
  <c r="E138" i="1" s="1"/>
  <c r="E57" i="1"/>
  <c r="D57" i="1"/>
  <c r="E56" i="1"/>
  <c r="D56" i="1"/>
  <c r="F56" i="1" s="1"/>
  <c r="E68" i="1"/>
  <c r="D68" i="1"/>
  <c r="F68" i="1" s="1"/>
  <c r="E67" i="1"/>
  <c r="F67" i="1" s="1"/>
  <c r="D67" i="1"/>
  <c r="E64" i="1"/>
  <c r="D64" i="1"/>
  <c r="E63" i="1"/>
  <c r="F63" i="1" s="1"/>
  <c r="D63" i="1"/>
  <c r="E62" i="1"/>
  <c r="F62" i="1" s="1"/>
  <c r="D62" i="1"/>
  <c r="E61" i="1"/>
  <c r="F61" i="1" s="1"/>
  <c r="D61" i="1"/>
  <c r="E60" i="1"/>
  <c r="D60" i="1"/>
  <c r="F60" i="1" s="1"/>
  <c r="E58" i="1"/>
  <c r="D58" i="1"/>
  <c r="E59" i="1"/>
  <c r="F59" i="1" s="1"/>
  <c r="D59" i="1"/>
  <c r="E71" i="1"/>
  <c r="D71" i="1"/>
  <c r="E70" i="1"/>
  <c r="D70" i="1"/>
  <c r="E69" i="1"/>
  <c r="D69" i="1"/>
  <c r="C151" i="1"/>
  <c r="E151" i="1" s="1"/>
  <c r="E155" i="1"/>
  <c r="F155" i="1" s="1"/>
  <c r="D155" i="1"/>
  <c r="E154" i="1"/>
  <c r="F154" i="1" s="1"/>
  <c r="D154" i="1"/>
  <c r="E153" i="1"/>
  <c r="F153" i="1" s="1"/>
  <c r="D153" i="1"/>
  <c r="C259" i="1"/>
  <c r="E259" i="1" s="1"/>
  <c r="C258" i="1"/>
  <c r="E258" i="1" s="1"/>
  <c r="C257" i="1"/>
  <c r="E257" i="1" s="1"/>
  <c r="C256" i="1"/>
  <c r="G256" i="1" s="1"/>
  <c r="C255" i="1"/>
  <c r="E255" i="1" s="1"/>
  <c r="C192" i="1"/>
  <c r="E192" i="1" s="1"/>
  <c r="C191" i="1"/>
  <c r="C190" i="1"/>
  <c r="C189" i="1"/>
  <c r="G189" i="1" s="1"/>
  <c r="C188" i="1"/>
  <c r="E188" i="1" s="1"/>
  <c r="C187" i="1"/>
  <c r="C186" i="1"/>
  <c r="C185" i="1"/>
  <c r="G185" i="1" s="1"/>
  <c r="C152" i="1"/>
  <c r="E152" i="1" s="1"/>
  <c r="E159" i="1"/>
  <c r="D159" i="1"/>
  <c r="E158" i="1"/>
  <c r="D158" i="1"/>
  <c r="E157" i="1"/>
  <c r="D157" i="1"/>
  <c r="E156" i="1"/>
  <c r="D156" i="1"/>
  <c r="C193" i="1"/>
  <c r="E193" i="1" s="1"/>
  <c r="C149" i="1"/>
  <c r="G149" i="1" s="1"/>
  <c r="C148" i="1"/>
  <c r="G148" i="1" s="1"/>
  <c r="C147" i="1"/>
  <c r="E147" i="1" s="1"/>
  <c r="C146" i="1"/>
  <c r="C143" i="1"/>
  <c r="E150" i="1"/>
  <c r="D150" i="1"/>
  <c r="E145" i="1"/>
  <c r="D145" i="1"/>
  <c r="E144" i="1"/>
  <c r="D144" i="1"/>
  <c r="E142" i="1"/>
  <c r="D142" i="1"/>
  <c r="E141" i="1"/>
  <c r="D141" i="1"/>
  <c r="E140" i="1"/>
  <c r="D140" i="1"/>
  <c r="E139" i="1"/>
  <c r="D139" i="1"/>
  <c r="C183" i="1"/>
  <c r="C182" i="1"/>
  <c r="E113" i="1"/>
  <c r="F113" i="1" s="1"/>
  <c r="D113" i="1"/>
  <c r="E112" i="1"/>
  <c r="D112" i="1"/>
  <c r="F112" i="1" s="1"/>
  <c r="E111" i="1"/>
  <c r="F111" i="1" s="1"/>
  <c r="D111" i="1"/>
  <c r="E110" i="1"/>
  <c r="F110" i="1" s="1"/>
  <c r="D110" i="1"/>
  <c r="E109" i="1"/>
  <c r="F109" i="1" s="1"/>
  <c r="D109" i="1"/>
  <c r="B36" i="14" l="1"/>
  <c r="A37" i="14"/>
  <c r="B45" i="14"/>
  <c r="A46" i="14"/>
  <c r="B48" i="11"/>
  <c r="A49" i="11"/>
  <c r="C22" i="17"/>
  <c r="G243" i="1"/>
  <c r="G95" i="1"/>
  <c r="G259" i="1"/>
  <c r="D3" i="9"/>
  <c r="D7" i="9"/>
  <c r="D11" i="9"/>
  <c r="D15" i="9"/>
  <c r="D4" i="9"/>
  <c r="D8" i="9"/>
  <c r="D12" i="9"/>
  <c r="D16" i="9"/>
  <c r="D6" i="9"/>
  <c r="D14" i="9"/>
  <c r="N80" i="1" s="1"/>
  <c r="O80" i="1" s="1"/>
  <c r="R80" i="1" s="1"/>
  <c r="C33" i="17" s="1"/>
  <c r="D9" i="9"/>
  <c r="D17" i="9"/>
  <c r="D2" i="9"/>
  <c r="D13" i="9"/>
  <c r="D10" i="9"/>
  <c r="D5" i="9"/>
  <c r="G196" i="1"/>
  <c r="G152" i="1"/>
  <c r="G255" i="1"/>
  <c r="G192" i="1"/>
  <c r="G99" i="1"/>
  <c r="G188" i="1"/>
  <c r="E182" i="1"/>
  <c r="G182" i="1"/>
  <c r="E143" i="1"/>
  <c r="G143" i="1"/>
  <c r="E186" i="1"/>
  <c r="G186" i="1"/>
  <c r="E190" i="1"/>
  <c r="G190" i="1"/>
  <c r="E187" i="1"/>
  <c r="G187" i="1"/>
  <c r="E191" i="1"/>
  <c r="G191" i="1"/>
  <c r="E195" i="1"/>
  <c r="G195" i="1"/>
  <c r="G97" i="1"/>
  <c r="G257" i="1"/>
  <c r="G193" i="1"/>
  <c r="D194" i="1"/>
  <c r="G194" i="1"/>
  <c r="E183" i="1"/>
  <c r="G183" i="1"/>
  <c r="E146" i="1"/>
  <c r="G146" i="1"/>
  <c r="G161" i="1"/>
  <c r="G151" i="1"/>
  <c r="G147" i="1"/>
  <c r="G258" i="1"/>
  <c r="G254" i="1"/>
  <c r="G234" i="1"/>
  <c r="G138" i="1"/>
  <c r="G98" i="1"/>
  <c r="E148" i="1"/>
  <c r="D185" i="1"/>
  <c r="E189" i="1"/>
  <c r="F69" i="1"/>
  <c r="F71" i="1"/>
  <c r="E149" i="1"/>
  <c r="E256" i="1"/>
  <c r="E160" i="1"/>
  <c r="E96" i="1"/>
  <c r="F140" i="1"/>
  <c r="F142" i="1"/>
  <c r="F145" i="1"/>
  <c r="F157" i="1"/>
  <c r="F159" i="1"/>
  <c r="F90" i="1"/>
  <c r="F92" i="1"/>
  <c r="F49" i="1"/>
  <c r="F51" i="1"/>
  <c r="F53" i="1"/>
  <c r="F150" i="1"/>
  <c r="F158" i="1"/>
  <c r="F54" i="1"/>
  <c r="F70" i="1"/>
  <c r="F91" i="1"/>
  <c r="F50" i="1"/>
  <c r="F139" i="1"/>
  <c r="F141" i="1"/>
  <c r="F144" i="1"/>
  <c r="F156" i="1"/>
  <c r="F48" i="1"/>
  <c r="F52" i="1"/>
  <c r="D234" i="1"/>
  <c r="E194" i="1"/>
  <c r="D243" i="1"/>
  <c r="F243" i="1" s="1"/>
  <c r="D196" i="1"/>
  <c r="F196" i="1" s="1"/>
  <c r="D195" i="1"/>
  <c r="D99" i="1"/>
  <c r="F99" i="1" s="1"/>
  <c r="D98" i="1"/>
  <c r="F98" i="1" s="1"/>
  <c r="D97" i="1"/>
  <c r="F97" i="1" s="1"/>
  <c r="D96" i="1"/>
  <c r="D95" i="1"/>
  <c r="F95" i="1" s="1"/>
  <c r="D254" i="1"/>
  <c r="F254" i="1" s="1"/>
  <c r="D161" i="1"/>
  <c r="F161" i="1" s="1"/>
  <c r="D160" i="1"/>
  <c r="D138" i="1"/>
  <c r="F138" i="1" s="1"/>
  <c r="D151" i="1"/>
  <c r="F151" i="1" s="1"/>
  <c r="D258" i="1"/>
  <c r="F258" i="1" s="1"/>
  <c r="D257" i="1"/>
  <c r="F257" i="1" s="1"/>
  <c r="D192" i="1"/>
  <c r="F192" i="1" s="1"/>
  <c r="E185" i="1"/>
  <c r="D259" i="1"/>
  <c r="F259" i="1" s="1"/>
  <c r="D256" i="1"/>
  <c r="D255" i="1"/>
  <c r="F255" i="1" s="1"/>
  <c r="D191" i="1"/>
  <c r="D190" i="1"/>
  <c r="D189" i="1"/>
  <c r="D188" i="1"/>
  <c r="F188" i="1" s="1"/>
  <c r="D187" i="1"/>
  <c r="F187" i="1" s="1"/>
  <c r="D186" i="1"/>
  <c r="D152" i="1"/>
  <c r="F152" i="1" s="1"/>
  <c r="D193" i="1"/>
  <c r="F193" i="1" s="1"/>
  <c r="D149" i="1"/>
  <c r="D148" i="1"/>
  <c r="D147" i="1"/>
  <c r="F147" i="1" s="1"/>
  <c r="D146" i="1"/>
  <c r="D143" i="1"/>
  <c r="D183" i="1"/>
  <c r="D182" i="1"/>
  <c r="C232" i="1"/>
  <c r="G232" i="1" s="1"/>
  <c r="C105" i="1"/>
  <c r="G105" i="1" s="1"/>
  <c r="C104" i="1"/>
  <c r="G104" i="1" s="1"/>
  <c r="C103" i="1"/>
  <c r="G103" i="1" s="1"/>
  <c r="C102" i="1"/>
  <c r="G102" i="1" s="1"/>
  <c r="E100" i="1"/>
  <c r="D100" i="1"/>
  <c r="C101" i="1"/>
  <c r="G101" i="1" s="1"/>
  <c r="C253" i="1"/>
  <c r="G253" i="1" s="1"/>
  <c r="E3" i="1"/>
  <c r="F3" i="1" s="1"/>
  <c r="D3" i="1"/>
  <c r="E10" i="1"/>
  <c r="D10" i="1"/>
  <c r="E47" i="1"/>
  <c r="D47" i="1"/>
  <c r="E46" i="1"/>
  <c r="D46" i="1"/>
  <c r="E45" i="1"/>
  <c r="F45" i="1" s="1"/>
  <c r="D45" i="1"/>
  <c r="E44" i="1"/>
  <c r="D44" i="1"/>
  <c r="E14" i="1"/>
  <c r="D14" i="1"/>
  <c r="E13" i="1"/>
  <c r="D13" i="1"/>
  <c r="E11" i="1"/>
  <c r="F11" i="1" s="1"/>
  <c r="D11" i="1"/>
  <c r="E12" i="1"/>
  <c r="D12" i="1"/>
  <c r="E73" i="1"/>
  <c r="D73" i="1"/>
  <c r="E72" i="1"/>
  <c r="D72" i="1"/>
  <c r="E85" i="1"/>
  <c r="F85" i="1" s="1"/>
  <c r="D85" i="1"/>
  <c r="E74" i="1"/>
  <c r="D74" i="1"/>
  <c r="E75" i="1"/>
  <c r="D75" i="1"/>
  <c r="C252" i="1"/>
  <c r="G252" i="1" s="1"/>
  <c r="C251" i="1"/>
  <c r="G251" i="1" s="1"/>
  <c r="C250" i="1"/>
  <c r="G250" i="1" s="1"/>
  <c r="C249" i="1"/>
  <c r="G249" i="1" s="1"/>
  <c r="C248" i="1"/>
  <c r="G248" i="1" s="1"/>
  <c r="C247" i="1"/>
  <c r="G247" i="1" s="1"/>
  <c r="C246" i="1"/>
  <c r="G246" i="1" s="1"/>
  <c r="C245" i="1"/>
  <c r="G245" i="1" s="1"/>
  <c r="C244" i="1"/>
  <c r="G244" i="1" s="1"/>
  <c r="C184" i="1"/>
  <c r="G184" i="1" s="1"/>
  <c r="C87" i="1"/>
  <c r="G87" i="1" s="1"/>
  <c r="C86" i="1"/>
  <c r="G86" i="1" s="1"/>
  <c r="B47" i="11" l="1"/>
  <c r="A48" i="11"/>
  <c r="F74" i="1"/>
  <c r="F44" i="1"/>
  <c r="F10" i="1"/>
  <c r="F72" i="1"/>
  <c r="F13" i="1"/>
  <c r="F46" i="1"/>
  <c r="B44" i="14"/>
  <c r="A45" i="14"/>
  <c r="F12" i="1"/>
  <c r="F75" i="1"/>
  <c r="F73" i="1"/>
  <c r="F14" i="1"/>
  <c r="F47" i="1"/>
  <c r="B35" i="14"/>
  <c r="A36" i="14"/>
  <c r="F160" i="1"/>
  <c r="F190" i="1"/>
  <c r="F143" i="1"/>
  <c r="N143" i="1" s="1"/>
  <c r="O143" i="1" s="1"/>
  <c r="R143" i="1" s="1"/>
  <c r="F191" i="1"/>
  <c r="N61" i="1"/>
  <c r="O61" i="1" s="1"/>
  <c r="R61" i="1" s="1"/>
  <c r="N69" i="1"/>
  <c r="O69" i="1" s="1"/>
  <c r="R69" i="1" s="1"/>
  <c r="N77" i="1"/>
  <c r="O77" i="1" s="1"/>
  <c r="R77" i="1" s="1"/>
  <c r="N156" i="1"/>
  <c r="O156" i="1" s="1"/>
  <c r="R156" i="1" s="1"/>
  <c r="F183" i="1"/>
  <c r="F186" i="1"/>
  <c r="N186" i="1" s="1"/>
  <c r="N17" i="1"/>
  <c r="O17" i="1" s="1"/>
  <c r="R17" i="1" s="1"/>
  <c r="N57" i="1"/>
  <c r="O57" i="1" s="1"/>
  <c r="R57" i="1" s="1"/>
  <c r="N85" i="1"/>
  <c r="O85" i="1" s="1"/>
  <c r="R85" i="1" s="1"/>
  <c r="N93" i="1"/>
  <c r="O93" i="1" s="1"/>
  <c r="R93" i="1" s="1"/>
  <c r="N109" i="1"/>
  <c r="O109" i="1" s="1"/>
  <c r="R109" i="1" s="1"/>
  <c r="N113" i="1"/>
  <c r="O113" i="1" s="1"/>
  <c r="R113" i="1" s="1"/>
  <c r="N121" i="1"/>
  <c r="O121" i="1" s="1"/>
  <c r="R121" i="1" s="1"/>
  <c r="N153" i="1"/>
  <c r="O153" i="1" s="1"/>
  <c r="R153" i="1" s="1"/>
  <c r="N157" i="1"/>
  <c r="O157" i="1" s="1"/>
  <c r="R157" i="1" s="1"/>
  <c r="N10" i="1"/>
  <c r="O10" i="1" s="1"/>
  <c r="R10" i="1" s="1"/>
  <c r="N18" i="1"/>
  <c r="O18" i="1" s="1"/>
  <c r="R18" i="1" s="1"/>
  <c r="N50" i="1"/>
  <c r="O50" i="1" s="1"/>
  <c r="R50" i="1" s="1"/>
  <c r="N74" i="1"/>
  <c r="O74" i="1" s="1"/>
  <c r="R74" i="1" s="1"/>
  <c r="N90" i="1"/>
  <c r="O90" i="1" s="1"/>
  <c r="R90" i="1" s="1"/>
  <c r="N106" i="1"/>
  <c r="O106" i="1" s="1"/>
  <c r="R106" i="1" s="1"/>
  <c r="N110" i="1"/>
  <c r="O110" i="1" s="1"/>
  <c r="R110" i="1" s="1"/>
  <c r="N114" i="1"/>
  <c r="O114" i="1" s="1"/>
  <c r="R114" i="1" s="1"/>
  <c r="N122" i="1"/>
  <c r="N154" i="1"/>
  <c r="O154" i="1" s="1"/>
  <c r="R154" i="1" s="1"/>
  <c r="N11" i="1"/>
  <c r="O11" i="1" s="1"/>
  <c r="R11" i="1" s="1"/>
  <c r="N67" i="1"/>
  <c r="O67" i="1" s="1"/>
  <c r="R67" i="1" s="1"/>
  <c r="N112" i="1"/>
  <c r="O112" i="1" s="1"/>
  <c r="R112" i="1" s="1"/>
  <c r="N12" i="1"/>
  <c r="O12" i="1" s="1"/>
  <c r="R12" i="1" s="1"/>
  <c r="N115" i="1"/>
  <c r="O115" i="1" s="1"/>
  <c r="R115" i="1" s="1"/>
  <c r="N139" i="1"/>
  <c r="O139" i="1" s="1"/>
  <c r="R139" i="1" s="1"/>
  <c r="N76" i="1"/>
  <c r="O76" i="1" s="1"/>
  <c r="R76" i="1" s="1"/>
  <c r="N100" i="1"/>
  <c r="O100" i="1" s="1"/>
  <c r="R100" i="1" s="1"/>
  <c r="N108" i="1"/>
  <c r="O108" i="1" s="1"/>
  <c r="R108" i="1" s="1"/>
  <c r="N68" i="1"/>
  <c r="O68" i="1" s="1"/>
  <c r="R68" i="1" s="1"/>
  <c r="N119" i="1"/>
  <c r="O119" i="1" s="1"/>
  <c r="R119" i="1" s="1"/>
  <c r="C8" i="17" s="1"/>
  <c r="N257" i="1"/>
  <c r="L257" i="1" s="1"/>
  <c r="R257" i="1" s="1"/>
  <c r="N234" i="1"/>
  <c r="L234" i="1" s="1"/>
  <c r="R234" i="1" s="1"/>
  <c r="N254" i="1"/>
  <c r="L254" i="1" s="1"/>
  <c r="R254" i="1" s="1"/>
  <c r="N259" i="1"/>
  <c r="L259" i="1" s="1"/>
  <c r="R259" i="1" s="1"/>
  <c r="N255" i="1"/>
  <c r="L255" i="1" s="1"/>
  <c r="R255" i="1" s="1"/>
  <c r="N146" i="1"/>
  <c r="O146" i="1" s="1"/>
  <c r="R146" i="1" s="1"/>
  <c r="N147" i="1"/>
  <c r="O147" i="1" s="1"/>
  <c r="R147" i="1" s="1"/>
  <c r="N148" i="1"/>
  <c r="O148" i="1" s="1"/>
  <c r="R148" i="1" s="1"/>
  <c r="N117" i="1"/>
  <c r="O117" i="1" s="1"/>
  <c r="R117" i="1" s="1"/>
  <c r="N118" i="1"/>
  <c r="O118" i="1" s="1"/>
  <c r="R118" i="1" s="1"/>
  <c r="N123" i="1"/>
  <c r="O123" i="1" s="1"/>
  <c r="R123" i="1" s="1"/>
  <c r="N49" i="1"/>
  <c r="O49" i="1" s="1"/>
  <c r="R49" i="1" s="1"/>
  <c r="N19" i="1"/>
  <c r="O19" i="1" s="1"/>
  <c r="R19" i="1" s="1"/>
  <c r="N60" i="1"/>
  <c r="O60" i="1" s="1"/>
  <c r="R60" i="1" s="1"/>
  <c r="N75" i="1"/>
  <c r="O75" i="1" s="1"/>
  <c r="R75" i="1" s="1"/>
  <c r="N97" i="1"/>
  <c r="O97" i="1" s="1"/>
  <c r="R97" i="1" s="1"/>
  <c r="N98" i="1"/>
  <c r="O98" i="1" s="1"/>
  <c r="R98" i="1" s="1"/>
  <c r="N158" i="1"/>
  <c r="O158" i="1" s="1"/>
  <c r="R158" i="1" s="1"/>
  <c r="N55" i="1"/>
  <c r="O55" i="1" s="1"/>
  <c r="R55" i="1" s="1"/>
  <c r="N63" i="1"/>
  <c r="O63" i="1" s="1"/>
  <c r="R63" i="1" s="1"/>
  <c r="N71" i="1"/>
  <c r="O71" i="1" s="1"/>
  <c r="R71" i="1" s="1"/>
  <c r="N64" i="1"/>
  <c r="O64" i="1" s="1"/>
  <c r="R64" i="1" s="1"/>
  <c r="N79" i="1"/>
  <c r="O79" i="1" s="1"/>
  <c r="R79" i="1" s="1"/>
  <c r="N116" i="1"/>
  <c r="O116" i="1" s="1"/>
  <c r="R116" i="1" s="1"/>
  <c r="C18" i="17" s="1"/>
  <c r="N53" i="1"/>
  <c r="O53" i="1" s="1"/>
  <c r="R53" i="1" s="1"/>
  <c r="N193" i="1"/>
  <c r="N233" i="1"/>
  <c r="L233" i="1" s="1"/>
  <c r="R233" i="1" s="1"/>
  <c r="N58" i="1"/>
  <c r="O58" i="1" s="1"/>
  <c r="R58" i="1" s="1"/>
  <c r="N182" i="1"/>
  <c r="N190" i="1"/>
  <c r="N72" i="1"/>
  <c r="O72" i="1" s="1"/>
  <c r="R72" i="1" s="1"/>
  <c r="N91" i="1"/>
  <c r="O91" i="1" s="1"/>
  <c r="R91" i="1" s="1"/>
  <c r="N243" i="1"/>
  <c r="L243" i="1" s="1"/>
  <c r="R243" i="1" s="1"/>
  <c r="N188" i="1"/>
  <c r="N159" i="1"/>
  <c r="O159" i="1" s="1"/>
  <c r="R159" i="1" s="1"/>
  <c r="N191" i="1"/>
  <c r="N89" i="1"/>
  <c r="O89" i="1" s="1"/>
  <c r="R89" i="1" s="1"/>
  <c r="N145" i="1"/>
  <c r="O145" i="1" s="1"/>
  <c r="R145" i="1" s="1"/>
  <c r="N54" i="1"/>
  <c r="O54" i="1" s="1"/>
  <c r="R54" i="1" s="1"/>
  <c r="N142" i="1"/>
  <c r="O142" i="1" s="1"/>
  <c r="R142" i="1" s="1"/>
  <c r="N150" i="1"/>
  <c r="O150" i="1" s="1"/>
  <c r="R150" i="1" s="1"/>
  <c r="N144" i="1"/>
  <c r="O144" i="1" s="1"/>
  <c r="R144" i="1" s="1"/>
  <c r="N107" i="1"/>
  <c r="O107" i="1" s="1"/>
  <c r="R107" i="1" s="1"/>
  <c r="N140" i="1"/>
  <c r="O140" i="1" s="1"/>
  <c r="R140" i="1" s="1"/>
  <c r="N111" i="1"/>
  <c r="O111" i="1" s="1"/>
  <c r="R111" i="1" s="1"/>
  <c r="N141" i="1"/>
  <c r="O141" i="1" s="1"/>
  <c r="R141" i="1" s="1"/>
  <c r="C28" i="17" s="1"/>
  <c r="N161" i="1"/>
  <c r="O161" i="1" s="1"/>
  <c r="R161" i="1" s="1"/>
  <c r="N14" i="1"/>
  <c r="O14" i="1" s="1"/>
  <c r="R14" i="1" s="1"/>
  <c r="N62" i="1"/>
  <c r="O62" i="1" s="1"/>
  <c r="R62" i="1" s="1"/>
  <c r="C29" i="17" s="1"/>
  <c r="N138" i="1"/>
  <c r="O138" i="1" s="1"/>
  <c r="R138" i="1" s="1"/>
  <c r="N160" i="1"/>
  <c r="O160" i="1" s="1"/>
  <c r="R160" i="1" s="1"/>
  <c r="N44" i="1"/>
  <c r="O44" i="1" s="1"/>
  <c r="R44" i="1" s="1"/>
  <c r="N99" i="1"/>
  <c r="O99" i="1" s="1"/>
  <c r="R99" i="1" s="1"/>
  <c r="N92" i="1"/>
  <c r="O92" i="1" s="1"/>
  <c r="R92" i="1" s="1"/>
  <c r="N95" i="1"/>
  <c r="O95" i="1" s="1"/>
  <c r="R95" i="1" s="1"/>
  <c r="N151" i="1"/>
  <c r="O151" i="1" s="1"/>
  <c r="R151" i="1" s="1"/>
  <c r="N3" i="1"/>
  <c r="O3" i="1" s="1"/>
  <c r="R3" i="1" s="1"/>
  <c r="N13" i="1"/>
  <c r="O13" i="1" s="1"/>
  <c r="R13" i="1" s="1"/>
  <c r="N120" i="1"/>
  <c r="O120" i="1" s="1"/>
  <c r="R120" i="1" s="1"/>
  <c r="N48" i="1"/>
  <c r="O48" i="1" s="1"/>
  <c r="R48" i="1" s="1"/>
  <c r="N45" i="1"/>
  <c r="O45" i="1" s="1"/>
  <c r="R45" i="1" s="1"/>
  <c r="N185" i="1"/>
  <c r="N70" i="1"/>
  <c r="O70" i="1" s="1"/>
  <c r="R70" i="1" s="1"/>
  <c r="N78" i="1"/>
  <c r="O78" i="1" s="1"/>
  <c r="R78" i="1" s="1"/>
  <c r="N94" i="1"/>
  <c r="O94" i="1" s="1"/>
  <c r="R94" i="1" s="1"/>
  <c r="N258" i="1"/>
  <c r="L258" i="1" s="1"/>
  <c r="R258" i="1" s="1"/>
  <c r="N56" i="1"/>
  <c r="O56" i="1" s="1"/>
  <c r="R56" i="1" s="1"/>
  <c r="N88" i="1"/>
  <c r="O88" i="1" s="1"/>
  <c r="R88" i="1" s="1"/>
  <c r="N152" i="1"/>
  <c r="O152" i="1" s="1"/>
  <c r="R152" i="1" s="1"/>
  <c r="N256" i="1"/>
  <c r="L256" i="1" s="1"/>
  <c r="R256" i="1" s="1"/>
  <c r="N155" i="1"/>
  <c r="O155" i="1" s="1"/>
  <c r="R155" i="1" s="1"/>
  <c r="N187" i="1"/>
  <c r="N124" i="1"/>
  <c r="O124" i="1" s="1"/>
  <c r="R124" i="1" s="1"/>
  <c r="N196" i="1"/>
  <c r="N52" i="1"/>
  <c r="O52" i="1" s="1"/>
  <c r="R52" i="1" s="1"/>
  <c r="N73" i="1"/>
  <c r="O73" i="1" s="1"/>
  <c r="R73" i="1" s="1"/>
  <c r="N46" i="1"/>
  <c r="O46" i="1" s="1"/>
  <c r="R46" i="1" s="1"/>
  <c r="N47" i="1"/>
  <c r="O47" i="1" s="1"/>
  <c r="R47" i="1" s="1"/>
  <c r="N51" i="1"/>
  <c r="O51" i="1" s="1"/>
  <c r="R51" i="1" s="1"/>
  <c r="N59" i="1"/>
  <c r="O59" i="1" s="1"/>
  <c r="R59" i="1" s="1"/>
  <c r="F146" i="1"/>
  <c r="F194" i="1"/>
  <c r="N194" i="1" s="1"/>
  <c r="F182" i="1"/>
  <c r="F195" i="1"/>
  <c r="N195" i="1" s="1"/>
  <c r="F189" i="1"/>
  <c r="N189" i="1" s="1"/>
  <c r="F256" i="1"/>
  <c r="F96" i="1"/>
  <c r="N96" i="1" s="1"/>
  <c r="O96" i="1" s="1"/>
  <c r="R96" i="1" s="1"/>
  <c r="F148" i="1"/>
  <c r="E244" i="1"/>
  <c r="N244" i="1" s="1"/>
  <c r="L244" i="1" s="1"/>
  <c r="R244" i="1" s="1"/>
  <c r="E248" i="1"/>
  <c r="N248" i="1" s="1"/>
  <c r="L248" i="1" s="1"/>
  <c r="R248" i="1" s="1"/>
  <c r="E252" i="1"/>
  <c r="N252" i="1" s="1"/>
  <c r="L252" i="1" s="1"/>
  <c r="R252" i="1" s="1"/>
  <c r="D101" i="1"/>
  <c r="E103" i="1"/>
  <c r="N103" i="1" s="1"/>
  <c r="O103" i="1" s="1"/>
  <c r="R103" i="1" s="1"/>
  <c r="E86" i="1"/>
  <c r="E245" i="1"/>
  <c r="N245" i="1" s="1"/>
  <c r="L245" i="1" s="1"/>
  <c r="R245" i="1" s="1"/>
  <c r="E249" i="1"/>
  <c r="N249" i="1" s="1"/>
  <c r="L249" i="1" s="1"/>
  <c r="R249" i="1" s="1"/>
  <c r="E104" i="1"/>
  <c r="E250" i="1"/>
  <c r="N250" i="1" s="1"/>
  <c r="L250" i="1" s="1"/>
  <c r="R250" i="1" s="1"/>
  <c r="E87" i="1"/>
  <c r="N87" i="1" s="1"/>
  <c r="O87" i="1" s="1"/>
  <c r="R87" i="1" s="1"/>
  <c r="E246" i="1"/>
  <c r="N246" i="1" s="1"/>
  <c r="L246" i="1" s="1"/>
  <c r="R246" i="1" s="1"/>
  <c r="E105" i="1"/>
  <c r="F149" i="1"/>
  <c r="N149" i="1" s="1"/>
  <c r="O149" i="1" s="1"/>
  <c r="R149" i="1" s="1"/>
  <c r="F185" i="1"/>
  <c r="E184" i="1"/>
  <c r="N184" i="1" s="1"/>
  <c r="E247" i="1"/>
  <c r="N247" i="1" s="1"/>
  <c r="L247" i="1" s="1"/>
  <c r="R247" i="1" s="1"/>
  <c r="D251" i="1"/>
  <c r="D253" i="1"/>
  <c r="E102" i="1"/>
  <c r="N102" i="1" s="1"/>
  <c r="O102" i="1" s="1"/>
  <c r="R102" i="1" s="1"/>
  <c r="E232" i="1"/>
  <c r="N232" i="1" s="1"/>
  <c r="L232" i="1" s="1"/>
  <c r="R232" i="1" s="1"/>
  <c r="D233" i="1"/>
  <c r="F233" i="1" s="1"/>
  <c r="F234" i="1"/>
  <c r="F100" i="1"/>
  <c r="D232" i="1"/>
  <c r="F232" i="1" s="1"/>
  <c r="D105" i="1"/>
  <c r="D104" i="1"/>
  <c r="D103" i="1"/>
  <c r="D102" i="1"/>
  <c r="E101" i="1"/>
  <c r="E253" i="1"/>
  <c r="N253" i="1" s="1"/>
  <c r="L253" i="1" s="1"/>
  <c r="R253" i="1" s="1"/>
  <c r="E251" i="1"/>
  <c r="N251" i="1" s="1"/>
  <c r="L251" i="1" s="1"/>
  <c r="R251" i="1" s="1"/>
  <c r="D252" i="1"/>
  <c r="D250" i="1"/>
  <c r="D249" i="1"/>
  <c r="D248" i="1"/>
  <c r="D247" i="1"/>
  <c r="F247" i="1" s="1"/>
  <c r="D246" i="1"/>
  <c r="D245" i="1"/>
  <c r="F245" i="1" s="1"/>
  <c r="D244" i="1"/>
  <c r="D184" i="1"/>
  <c r="D87" i="1"/>
  <c r="D86" i="1"/>
  <c r="D83" i="1"/>
  <c r="E83" i="1"/>
  <c r="D84" i="1"/>
  <c r="E84" i="1"/>
  <c r="N84" i="1" s="1"/>
  <c r="O84" i="1" s="1"/>
  <c r="R84" i="1" s="1"/>
  <c r="E82" i="1"/>
  <c r="D82" i="1"/>
  <c r="N82" i="1" s="1"/>
  <c r="O82" i="1" s="1"/>
  <c r="R82" i="1" s="1"/>
  <c r="C81" i="1"/>
  <c r="G81" i="1" s="1"/>
  <c r="E30" i="1"/>
  <c r="D30" i="1"/>
  <c r="E29" i="1"/>
  <c r="D29" i="1"/>
  <c r="E28" i="1"/>
  <c r="N28" i="1" s="1"/>
  <c r="O28" i="1" s="1"/>
  <c r="R28" i="1" s="1"/>
  <c r="D28" i="1"/>
  <c r="E27" i="1"/>
  <c r="D27" i="1"/>
  <c r="N27" i="1" s="1"/>
  <c r="O27" i="1" s="1"/>
  <c r="R27" i="1" s="1"/>
  <c r="E26" i="1"/>
  <c r="D26" i="1"/>
  <c r="E25" i="1"/>
  <c r="N25" i="1" s="1"/>
  <c r="O25" i="1" s="1"/>
  <c r="R25" i="1" s="1"/>
  <c r="D25" i="1"/>
  <c r="E24" i="1"/>
  <c r="N24" i="1" s="1"/>
  <c r="O24" i="1" s="1"/>
  <c r="R24" i="1" s="1"/>
  <c r="D24" i="1"/>
  <c r="E23" i="1"/>
  <c r="N23" i="1" s="1"/>
  <c r="O23" i="1" s="1"/>
  <c r="R23" i="1" s="1"/>
  <c r="D23" i="1"/>
  <c r="E22" i="1"/>
  <c r="N22" i="1" s="1"/>
  <c r="O22" i="1" s="1"/>
  <c r="R22" i="1" s="1"/>
  <c r="D22" i="1"/>
  <c r="E21" i="1"/>
  <c r="N21" i="1" s="1"/>
  <c r="O21" i="1" s="1"/>
  <c r="R21" i="1" s="1"/>
  <c r="C30" i="17" s="1"/>
  <c r="D21" i="1"/>
  <c r="E20" i="1"/>
  <c r="N20" i="1" s="1"/>
  <c r="O20" i="1" s="1"/>
  <c r="R20" i="1" s="1"/>
  <c r="D20" i="1"/>
  <c r="E16" i="1"/>
  <c r="D16" i="1"/>
  <c r="E15" i="1"/>
  <c r="D15" i="1"/>
  <c r="N15" i="1" s="1"/>
  <c r="O15" i="1" s="1"/>
  <c r="R15" i="1" s="1"/>
  <c r="E9" i="1"/>
  <c r="N9" i="1" s="1"/>
  <c r="O9" i="1" s="1"/>
  <c r="R9" i="1" s="1"/>
  <c r="D9" i="1"/>
  <c r="E8" i="1"/>
  <c r="D8" i="1"/>
  <c r="E7" i="1"/>
  <c r="D7" i="1"/>
  <c r="E6" i="1"/>
  <c r="D6" i="1"/>
  <c r="N6" i="1" s="1"/>
  <c r="O6" i="1" s="1"/>
  <c r="R6" i="1" s="1"/>
  <c r="E5" i="1"/>
  <c r="N5" i="1" s="1"/>
  <c r="O5" i="1" s="1"/>
  <c r="R5" i="1" s="1"/>
  <c r="D5" i="1"/>
  <c r="E4" i="1"/>
  <c r="N4" i="1" s="1"/>
  <c r="O4" i="1" s="1"/>
  <c r="R4" i="1" s="1"/>
  <c r="D4" i="1"/>
  <c r="C231" i="1"/>
  <c r="G231" i="1" s="1"/>
  <c r="C230" i="1"/>
  <c r="G230" i="1" s="1"/>
  <c r="C229" i="1"/>
  <c r="G229" i="1" s="1"/>
  <c r="C228" i="1"/>
  <c r="G228" i="1" s="1"/>
  <c r="C227" i="1"/>
  <c r="G227" i="1" s="1"/>
  <c r="C226" i="1"/>
  <c r="G226" i="1" s="1"/>
  <c r="C225" i="1"/>
  <c r="G225" i="1" s="1"/>
  <c r="C224" i="1"/>
  <c r="G224" i="1" s="1"/>
  <c r="C223" i="1"/>
  <c r="G223" i="1" s="1"/>
  <c r="C222" i="1"/>
  <c r="G222" i="1" s="1"/>
  <c r="C221" i="1"/>
  <c r="G221" i="1" s="1"/>
  <c r="C220" i="1"/>
  <c r="G220" i="1" s="1"/>
  <c r="C219" i="1"/>
  <c r="G219" i="1" s="1"/>
  <c r="C218" i="1"/>
  <c r="G218" i="1" s="1"/>
  <c r="C217" i="1"/>
  <c r="G217" i="1" s="1"/>
  <c r="C216" i="1"/>
  <c r="G216" i="1" s="1"/>
  <c r="C215" i="1"/>
  <c r="G215" i="1" s="1"/>
  <c r="C214" i="1"/>
  <c r="G214" i="1" s="1"/>
  <c r="C213" i="1"/>
  <c r="G213" i="1" s="1"/>
  <c r="C212" i="1"/>
  <c r="G212" i="1" s="1"/>
  <c r="C211" i="1"/>
  <c r="G211" i="1" s="1"/>
  <c r="C210" i="1"/>
  <c r="G210" i="1" s="1"/>
  <c r="C209" i="1"/>
  <c r="G209" i="1" s="1"/>
  <c r="C208" i="1"/>
  <c r="G208" i="1" s="1"/>
  <c r="C207" i="1"/>
  <c r="G207" i="1" s="1"/>
  <c r="C206" i="1"/>
  <c r="G206" i="1" s="1"/>
  <c r="C205" i="1"/>
  <c r="G205" i="1" s="1"/>
  <c r="C204" i="1"/>
  <c r="G204" i="1" s="1"/>
  <c r="C203" i="1"/>
  <c r="G203" i="1" s="1"/>
  <c r="C202" i="1"/>
  <c r="G202" i="1" s="1"/>
  <c r="C201" i="1"/>
  <c r="G201" i="1" s="1"/>
  <c r="C200" i="1"/>
  <c r="G200" i="1" s="1"/>
  <c r="C199" i="1"/>
  <c r="G199" i="1" s="1"/>
  <c r="C198" i="1"/>
  <c r="G198" i="1" s="1"/>
  <c r="C197" i="1"/>
  <c r="G197" i="1" s="1"/>
  <c r="C181" i="1"/>
  <c r="G181" i="1" s="1"/>
  <c r="C180" i="1"/>
  <c r="G180" i="1" s="1"/>
  <c r="C179" i="1"/>
  <c r="G179" i="1" s="1"/>
  <c r="C178" i="1"/>
  <c r="G178" i="1" s="1"/>
  <c r="C177" i="1"/>
  <c r="G177" i="1" s="1"/>
  <c r="C176" i="1"/>
  <c r="G176" i="1" s="1"/>
  <c r="C175" i="1"/>
  <c r="G175" i="1" s="1"/>
  <c r="C174" i="1"/>
  <c r="G174" i="1" s="1"/>
  <c r="C173" i="1"/>
  <c r="G173" i="1" s="1"/>
  <c r="C172" i="1"/>
  <c r="G172" i="1" s="1"/>
  <c r="C171" i="1"/>
  <c r="G171" i="1" s="1"/>
  <c r="C170" i="1"/>
  <c r="G170" i="1" s="1"/>
  <c r="C169" i="1"/>
  <c r="G169" i="1" s="1"/>
  <c r="C168" i="1"/>
  <c r="G168" i="1" s="1"/>
  <c r="C167" i="1"/>
  <c r="G167" i="1" s="1"/>
  <c r="C166" i="1"/>
  <c r="G166" i="1" s="1"/>
  <c r="C165" i="1"/>
  <c r="G165" i="1" s="1"/>
  <c r="C164" i="1"/>
  <c r="G164" i="1" s="1"/>
  <c r="C163" i="1"/>
  <c r="G163" i="1" s="1"/>
  <c r="C162" i="1"/>
  <c r="G162" i="1" s="1"/>
  <c r="C43" i="1"/>
  <c r="G43" i="1" s="1"/>
  <c r="C42" i="1"/>
  <c r="G42" i="1" s="1"/>
  <c r="C41" i="1"/>
  <c r="G41" i="1" s="1"/>
  <c r="C40" i="1"/>
  <c r="G40" i="1" s="1"/>
  <c r="C39" i="1"/>
  <c r="G39" i="1" s="1"/>
  <c r="C38" i="1"/>
  <c r="G38" i="1" s="1"/>
  <c r="C37" i="1"/>
  <c r="G37" i="1" s="1"/>
  <c r="C36" i="1"/>
  <c r="G36" i="1" s="1"/>
  <c r="C35" i="1"/>
  <c r="G35" i="1" s="1"/>
  <c r="C34" i="1"/>
  <c r="G34" i="1" s="1"/>
  <c r="C33" i="1"/>
  <c r="G33" i="1" s="1"/>
  <c r="C32" i="1"/>
  <c r="G32" i="1" s="1"/>
  <c r="C31" i="1"/>
  <c r="G31" i="1" s="1"/>
  <c r="C126" i="1"/>
  <c r="G126" i="1" s="1"/>
  <c r="N126" i="1" s="1"/>
  <c r="O126" i="1" s="1"/>
  <c r="R126" i="1" s="1"/>
  <c r="C127" i="1"/>
  <c r="G127" i="1" s="1"/>
  <c r="C128" i="1"/>
  <c r="G128" i="1" s="1"/>
  <c r="N128" i="1" s="1"/>
  <c r="O128" i="1" s="1"/>
  <c r="R128" i="1" s="1"/>
  <c r="C129" i="1"/>
  <c r="G129" i="1" s="1"/>
  <c r="N129" i="1" s="1"/>
  <c r="C130" i="1"/>
  <c r="G130" i="1" s="1"/>
  <c r="C131" i="1"/>
  <c r="G131" i="1" s="1"/>
  <c r="C125" i="1"/>
  <c r="G125" i="1" s="1"/>
  <c r="C66" i="1"/>
  <c r="G66" i="1" s="1"/>
  <c r="C65" i="1"/>
  <c r="G65" i="1" s="1"/>
  <c r="C137" i="1"/>
  <c r="G137" i="1" s="1"/>
  <c r="C136" i="1"/>
  <c r="G136" i="1" s="1"/>
  <c r="C135" i="1"/>
  <c r="G135" i="1" s="1"/>
  <c r="C134" i="1"/>
  <c r="G134" i="1" s="1"/>
  <c r="C133" i="1"/>
  <c r="G133" i="1" s="1"/>
  <c r="C132" i="1"/>
  <c r="G132" i="1" s="1"/>
  <c r="C236" i="1"/>
  <c r="G236" i="1" s="1"/>
  <c r="C237" i="1"/>
  <c r="G237" i="1" s="1"/>
  <c r="C238" i="1"/>
  <c r="G238" i="1" s="1"/>
  <c r="C239" i="1"/>
  <c r="G239" i="1" s="1"/>
  <c r="C240" i="1"/>
  <c r="G240" i="1" s="1"/>
  <c r="C241" i="1"/>
  <c r="G241" i="1" s="1"/>
  <c r="C242" i="1"/>
  <c r="G242" i="1" s="1"/>
  <c r="C235" i="1"/>
  <c r="G235" i="1" s="1"/>
  <c r="E3" i="7"/>
  <c r="E33" i="7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S80" i="1" s="1"/>
  <c r="D33" i="17" s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S129" i="1" s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I160" i="1"/>
  <c r="I161" i="1"/>
  <c r="I162" i="1"/>
  <c r="S162" i="1" s="1"/>
  <c r="I163" i="1"/>
  <c r="S163" i="1" s="1"/>
  <c r="I164" i="1"/>
  <c r="S164" i="1" s="1"/>
  <c r="I165" i="1"/>
  <c r="S165" i="1" s="1"/>
  <c r="I166" i="1"/>
  <c r="S166" i="1" s="1"/>
  <c r="I167" i="1"/>
  <c r="S167" i="1" s="1"/>
  <c r="I168" i="1"/>
  <c r="S168" i="1" s="1"/>
  <c r="I169" i="1"/>
  <c r="S169" i="1" s="1"/>
  <c r="I170" i="1"/>
  <c r="S170" i="1" s="1"/>
  <c r="I171" i="1"/>
  <c r="S171" i="1" s="1"/>
  <c r="I172" i="1"/>
  <c r="S172" i="1" s="1"/>
  <c r="I173" i="1"/>
  <c r="S173" i="1" s="1"/>
  <c r="I174" i="1"/>
  <c r="S174" i="1" s="1"/>
  <c r="I175" i="1"/>
  <c r="S175" i="1" s="1"/>
  <c r="I176" i="1"/>
  <c r="S176" i="1" s="1"/>
  <c r="I177" i="1"/>
  <c r="S177" i="1" s="1"/>
  <c r="I178" i="1"/>
  <c r="S178" i="1" s="1"/>
  <c r="I179" i="1"/>
  <c r="S179" i="1" s="1"/>
  <c r="I180" i="1"/>
  <c r="S180" i="1" s="1"/>
  <c r="I181" i="1"/>
  <c r="S181" i="1" s="1"/>
  <c r="I182" i="1"/>
  <c r="S182" i="1" s="1"/>
  <c r="I183" i="1"/>
  <c r="S183" i="1" s="1"/>
  <c r="I184" i="1"/>
  <c r="S184" i="1" s="1"/>
  <c r="I185" i="1"/>
  <c r="S185" i="1" s="1"/>
  <c r="I186" i="1"/>
  <c r="S186" i="1" s="1"/>
  <c r="I187" i="1"/>
  <c r="S187" i="1" s="1"/>
  <c r="I188" i="1"/>
  <c r="S188" i="1" s="1"/>
  <c r="I189" i="1"/>
  <c r="S189" i="1" s="1"/>
  <c r="I190" i="1"/>
  <c r="S190" i="1" s="1"/>
  <c r="I191" i="1"/>
  <c r="S191" i="1" s="1"/>
  <c r="I192" i="1"/>
  <c r="S192" i="1" s="1"/>
  <c r="I193" i="1"/>
  <c r="S193" i="1" s="1"/>
  <c r="I194" i="1"/>
  <c r="S194" i="1" s="1"/>
  <c r="D31" i="17" s="1"/>
  <c r="I195" i="1"/>
  <c r="S195" i="1" s="1"/>
  <c r="I196" i="1"/>
  <c r="S196" i="1" s="1"/>
  <c r="I199" i="1"/>
  <c r="I200" i="1"/>
  <c r="I201" i="1"/>
  <c r="I202" i="1"/>
  <c r="I221" i="1"/>
  <c r="I222" i="1"/>
  <c r="I229" i="1"/>
  <c r="I233" i="1"/>
  <c r="I237" i="1"/>
  <c r="I238" i="1"/>
  <c r="I241" i="1"/>
  <c r="I243" i="1"/>
  <c r="I244" i="1"/>
  <c r="I245" i="1"/>
  <c r="I246" i="1"/>
  <c r="I250" i="1"/>
  <c r="I253" i="1"/>
  <c r="I256" i="1"/>
  <c r="I258" i="1"/>
  <c r="I3" i="1"/>
  <c r="B34" i="14" l="1"/>
  <c r="A35" i="14"/>
  <c r="B43" i="14"/>
  <c r="A44" i="14"/>
  <c r="B46" i="11"/>
  <c r="A47" i="11"/>
  <c r="C20" i="17"/>
  <c r="C32" i="17"/>
  <c r="C15" i="17"/>
  <c r="C16" i="17"/>
  <c r="D22" i="17"/>
  <c r="C26" i="17"/>
  <c r="C12" i="17"/>
  <c r="C23" i="17"/>
  <c r="C19" i="17"/>
  <c r="C10" i="17"/>
  <c r="C13" i="17"/>
  <c r="C25" i="17"/>
  <c r="O122" i="1"/>
  <c r="R122" i="1" s="1"/>
  <c r="S122" i="1" s="1"/>
  <c r="S126" i="1"/>
  <c r="S128" i="1"/>
  <c r="S4" i="1"/>
  <c r="S20" i="1"/>
  <c r="S22" i="1"/>
  <c r="S24" i="1"/>
  <c r="S28" i="1"/>
  <c r="S84" i="1"/>
  <c r="S245" i="1"/>
  <c r="S96" i="1"/>
  <c r="S52" i="1"/>
  <c r="S56" i="1"/>
  <c r="S70" i="1"/>
  <c r="S120" i="1"/>
  <c r="S160" i="1"/>
  <c r="S54" i="1"/>
  <c r="S72" i="1"/>
  <c r="S233" i="1"/>
  <c r="S68" i="1"/>
  <c r="S114" i="1"/>
  <c r="S74" i="1"/>
  <c r="S82" i="1"/>
  <c r="S46" i="1"/>
  <c r="S124" i="1"/>
  <c r="S152" i="1"/>
  <c r="S94" i="1"/>
  <c r="S3" i="1"/>
  <c r="S62" i="1"/>
  <c r="D29" i="17" s="1"/>
  <c r="S150" i="1"/>
  <c r="S243" i="1"/>
  <c r="S98" i="1"/>
  <c r="S100" i="1"/>
  <c r="S12" i="1"/>
  <c r="S154" i="1"/>
  <c r="S106" i="1"/>
  <c r="S18" i="1"/>
  <c r="S253" i="1"/>
  <c r="S87" i="1"/>
  <c r="S51" i="1"/>
  <c r="S155" i="1"/>
  <c r="S95" i="1"/>
  <c r="S161" i="1"/>
  <c r="S107" i="1"/>
  <c r="S159" i="1"/>
  <c r="S79" i="1"/>
  <c r="S55" i="1"/>
  <c r="S75" i="1"/>
  <c r="S123" i="1"/>
  <c r="S147" i="1"/>
  <c r="S139" i="1"/>
  <c r="S67" i="1"/>
  <c r="S157" i="1"/>
  <c r="S109" i="1"/>
  <c r="S17" i="1"/>
  <c r="S77" i="1"/>
  <c r="S143" i="1"/>
  <c r="S27" i="1"/>
  <c r="S149" i="1"/>
  <c r="S250" i="1"/>
  <c r="S47" i="1"/>
  <c r="S256" i="1"/>
  <c r="S258" i="1"/>
  <c r="S13" i="1"/>
  <c r="S92" i="1"/>
  <c r="S138" i="1"/>
  <c r="S141" i="1"/>
  <c r="D28" i="17" s="1"/>
  <c r="S144" i="1"/>
  <c r="S145" i="1"/>
  <c r="S64" i="1"/>
  <c r="S158" i="1"/>
  <c r="S60" i="1"/>
  <c r="S118" i="1"/>
  <c r="S146" i="1"/>
  <c r="S108" i="1"/>
  <c r="S115" i="1"/>
  <c r="S11" i="1"/>
  <c r="S110" i="1"/>
  <c r="S50" i="1"/>
  <c r="S153" i="1"/>
  <c r="S93" i="1"/>
  <c r="S69" i="1"/>
  <c r="S5" i="1"/>
  <c r="S9" i="1"/>
  <c r="S21" i="1"/>
  <c r="D30" i="17" s="1"/>
  <c r="S23" i="1"/>
  <c r="S25" i="1"/>
  <c r="S103" i="1"/>
  <c r="S244" i="1"/>
  <c r="S45" i="1"/>
  <c r="S99" i="1"/>
  <c r="S111" i="1"/>
  <c r="S89" i="1"/>
  <c r="S53" i="1"/>
  <c r="S71" i="1"/>
  <c r="S19" i="1"/>
  <c r="S117" i="1"/>
  <c r="S121" i="1"/>
  <c r="S85" i="1"/>
  <c r="S61" i="1"/>
  <c r="S6" i="1"/>
  <c r="S15" i="1"/>
  <c r="S102" i="1"/>
  <c r="S246" i="1"/>
  <c r="S59" i="1"/>
  <c r="S73" i="1"/>
  <c r="S88" i="1"/>
  <c r="S78" i="1"/>
  <c r="S48" i="1"/>
  <c r="S151" i="1"/>
  <c r="S44" i="1"/>
  <c r="S14" i="1"/>
  <c r="S140" i="1"/>
  <c r="S142" i="1"/>
  <c r="S91" i="1"/>
  <c r="S58" i="1"/>
  <c r="S116" i="1"/>
  <c r="D18" i="17" s="1"/>
  <c r="S63" i="1"/>
  <c r="S97" i="1"/>
  <c r="S49" i="1"/>
  <c r="S148" i="1"/>
  <c r="S119" i="1"/>
  <c r="D8" i="17" s="1"/>
  <c r="S76" i="1"/>
  <c r="S112" i="1"/>
  <c r="S90" i="1"/>
  <c r="D25" i="17" s="1"/>
  <c r="S10" i="1"/>
  <c r="S113" i="1"/>
  <c r="S57" i="1"/>
  <c r="S156" i="1"/>
  <c r="F104" i="1"/>
  <c r="N104" i="1" s="1"/>
  <c r="O104" i="1" s="1"/>
  <c r="R104" i="1" s="1"/>
  <c r="S104" i="1" s="1"/>
  <c r="F5" i="1"/>
  <c r="F7" i="1"/>
  <c r="N7" i="1" s="1"/>
  <c r="O7" i="1" s="1"/>
  <c r="R7" i="1" s="1"/>
  <c r="F9" i="1"/>
  <c r="F16" i="1"/>
  <c r="N16" i="1" s="1"/>
  <c r="O16" i="1" s="1"/>
  <c r="R16" i="1" s="1"/>
  <c r="S16" i="1" s="1"/>
  <c r="F21" i="1"/>
  <c r="F23" i="1"/>
  <c r="F25" i="1"/>
  <c r="F27" i="1"/>
  <c r="F29" i="1"/>
  <c r="N29" i="1" s="1"/>
  <c r="O29" i="1" s="1"/>
  <c r="R29" i="1" s="1"/>
  <c r="S29" i="1" s="1"/>
  <c r="F184" i="1"/>
  <c r="F102" i="1"/>
  <c r="F87" i="1"/>
  <c r="F105" i="1"/>
  <c r="N105" i="1" s="1"/>
  <c r="O105" i="1" s="1"/>
  <c r="R105" i="1" s="1"/>
  <c r="S105" i="1" s="1"/>
  <c r="F252" i="1"/>
  <c r="F244" i="1"/>
  <c r="F248" i="1"/>
  <c r="F251" i="1"/>
  <c r="F103" i="1"/>
  <c r="F86" i="1"/>
  <c r="N86" i="1" s="1"/>
  <c r="O86" i="1" s="1"/>
  <c r="R86" i="1" s="1"/>
  <c r="S86" i="1" s="1"/>
  <c r="F249" i="1"/>
  <c r="F253" i="1"/>
  <c r="F246" i="1"/>
  <c r="F250" i="1"/>
  <c r="F101" i="1"/>
  <c r="N101" i="1" s="1"/>
  <c r="O101" i="1" s="1"/>
  <c r="R101" i="1" s="1"/>
  <c r="S101" i="1" s="1"/>
  <c r="E125" i="1"/>
  <c r="E32" i="1"/>
  <c r="N32" i="1" s="1"/>
  <c r="O32" i="1" s="1"/>
  <c r="R32" i="1" s="1"/>
  <c r="E40" i="1"/>
  <c r="N40" i="1" s="1"/>
  <c r="O40" i="1" s="1"/>
  <c r="R40" i="1" s="1"/>
  <c r="S40" i="1" s="1"/>
  <c r="D170" i="1"/>
  <c r="E197" i="1"/>
  <c r="N197" i="1" s="1"/>
  <c r="L197" i="1" s="1"/>
  <c r="R197" i="1" s="1"/>
  <c r="E217" i="1"/>
  <c r="N217" i="1" s="1"/>
  <c r="L217" i="1" s="1"/>
  <c r="R217" i="1" s="1"/>
  <c r="E130" i="1"/>
  <c r="E126" i="1"/>
  <c r="E34" i="1"/>
  <c r="N34" i="1" s="1"/>
  <c r="O34" i="1" s="1"/>
  <c r="R34" i="1" s="1"/>
  <c r="S34" i="1" s="1"/>
  <c r="E38" i="1"/>
  <c r="N38" i="1" s="1"/>
  <c r="O38" i="1" s="1"/>
  <c r="R38" i="1" s="1"/>
  <c r="S38" i="1" s="1"/>
  <c r="E42" i="1"/>
  <c r="N42" i="1" s="1"/>
  <c r="O42" i="1" s="1"/>
  <c r="R42" i="1" s="1"/>
  <c r="S42" i="1" s="1"/>
  <c r="E164" i="1"/>
  <c r="E168" i="1"/>
  <c r="E169" i="1" s="1"/>
  <c r="E172" i="1"/>
  <c r="N172" i="1" s="1"/>
  <c r="E176" i="1"/>
  <c r="E180" i="1"/>
  <c r="E213" i="1"/>
  <c r="N213" i="1" s="1"/>
  <c r="L213" i="1" s="1"/>
  <c r="R213" i="1" s="1"/>
  <c r="E225" i="1"/>
  <c r="N225" i="1" s="1"/>
  <c r="L225" i="1" s="1"/>
  <c r="R225" i="1" s="1"/>
  <c r="E203" i="1"/>
  <c r="N203" i="1" s="1"/>
  <c r="L203" i="1" s="1"/>
  <c r="R203" i="1" s="1"/>
  <c r="E207" i="1"/>
  <c r="N207" i="1" s="1"/>
  <c r="L207" i="1" s="1"/>
  <c r="R207" i="1" s="1"/>
  <c r="E211" i="1"/>
  <c r="N211" i="1" s="1"/>
  <c r="L211" i="1" s="1"/>
  <c r="R211" i="1" s="1"/>
  <c r="E215" i="1"/>
  <c r="N215" i="1" s="1"/>
  <c r="L215" i="1" s="1"/>
  <c r="R215" i="1" s="1"/>
  <c r="E219" i="1"/>
  <c r="N219" i="1" s="1"/>
  <c r="L219" i="1" s="1"/>
  <c r="R219" i="1" s="1"/>
  <c r="D223" i="1"/>
  <c r="E227" i="1"/>
  <c r="N227" i="1" s="1"/>
  <c r="L227" i="1" s="1"/>
  <c r="R227" i="1" s="1"/>
  <c r="E231" i="1"/>
  <c r="N231" i="1" s="1"/>
  <c r="L231" i="1" s="1"/>
  <c r="R231" i="1" s="1"/>
  <c r="D129" i="1"/>
  <c r="E31" i="1"/>
  <c r="E35" i="1"/>
  <c r="N35" i="1" s="1"/>
  <c r="O35" i="1" s="1"/>
  <c r="R35" i="1" s="1"/>
  <c r="S35" i="1" s="1"/>
  <c r="E39" i="1"/>
  <c r="N39" i="1" s="1"/>
  <c r="O39" i="1" s="1"/>
  <c r="R39" i="1" s="1"/>
  <c r="E43" i="1"/>
  <c r="E165" i="1"/>
  <c r="E173" i="1"/>
  <c r="E177" i="1"/>
  <c r="E181" i="1"/>
  <c r="E200" i="1"/>
  <c r="N200" i="1" s="1"/>
  <c r="L200" i="1" s="1"/>
  <c r="R200" i="1" s="1"/>
  <c r="E204" i="1"/>
  <c r="N204" i="1" s="1"/>
  <c r="L204" i="1" s="1"/>
  <c r="R204" i="1" s="1"/>
  <c r="E208" i="1"/>
  <c r="N208" i="1" s="1"/>
  <c r="L208" i="1" s="1"/>
  <c r="R208" i="1" s="1"/>
  <c r="E212" i="1"/>
  <c r="N212" i="1" s="1"/>
  <c r="L212" i="1" s="1"/>
  <c r="R212" i="1" s="1"/>
  <c r="E216" i="1"/>
  <c r="N216" i="1" s="1"/>
  <c r="L216" i="1" s="1"/>
  <c r="R216" i="1" s="1"/>
  <c r="D220" i="1"/>
  <c r="D224" i="1"/>
  <c r="E228" i="1"/>
  <c r="N228" i="1" s="1"/>
  <c r="L228" i="1" s="1"/>
  <c r="R228" i="1" s="1"/>
  <c r="D128" i="1"/>
  <c r="E36" i="1"/>
  <c r="N36" i="1" s="1"/>
  <c r="O36" i="1" s="1"/>
  <c r="R36" i="1" s="1"/>
  <c r="S36" i="1" s="1"/>
  <c r="D162" i="1"/>
  <c r="D166" i="1"/>
  <c r="D174" i="1"/>
  <c r="D178" i="1"/>
  <c r="E201" i="1"/>
  <c r="N201" i="1" s="1"/>
  <c r="L201" i="1" s="1"/>
  <c r="R201" i="1" s="1"/>
  <c r="S201" i="1" s="1"/>
  <c r="E209" i="1"/>
  <c r="N209" i="1" s="1"/>
  <c r="L209" i="1" s="1"/>
  <c r="R209" i="1" s="1"/>
  <c r="E221" i="1"/>
  <c r="N221" i="1" s="1"/>
  <c r="L221" i="1" s="1"/>
  <c r="R221" i="1" s="1"/>
  <c r="E229" i="1"/>
  <c r="N229" i="1" s="1"/>
  <c r="L229" i="1" s="1"/>
  <c r="R229" i="1" s="1"/>
  <c r="S229" i="1" s="1"/>
  <c r="D131" i="1"/>
  <c r="E127" i="1"/>
  <c r="E33" i="1"/>
  <c r="N33" i="1" s="1"/>
  <c r="O33" i="1" s="1"/>
  <c r="R33" i="1" s="1"/>
  <c r="S33" i="1" s="1"/>
  <c r="E37" i="1"/>
  <c r="N37" i="1" s="1"/>
  <c r="O37" i="1" s="1"/>
  <c r="R37" i="1" s="1"/>
  <c r="S37" i="1" s="1"/>
  <c r="E41" i="1"/>
  <c r="N41" i="1" s="1"/>
  <c r="O41" i="1" s="1"/>
  <c r="R41" i="1" s="1"/>
  <c r="S41" i="1" s="1"/>
  <c r="E163" i="1"/>
  <c r="E167" i="1"/>
  <c r="E171" i="1"/>
  <c r="E175" i="1"/>
  <c r="D179" i="1"/>
  <c r="E198" i="1"/>
  <c r="N198" i="1" s="1"/>
  <c r="L198" i="1" s="1"/>
  <c r="R198" i="1" s="1"/>
  <c r="E202" i="1"/>
  <c r="N202" i="1" s="1"/>
  <c r="L202" i="1" s="1"/>
  <c r="R202" i="1" s="1"/>
  <c r="S202" i="1" s="1"/>
  <c r="E206" i="1"/>
  <c r="N206" i="1" s="1"/>
  <c r="L206" i="1" s="1"/>
  <c r="R206" i="1" s="1"/>
  <c r="E210" i="1"/>
  <c r="N210" i="1" s="1"/>
  <c r="L210" i="1" s="1"/>
  <c r="R210" i="1" s="1"/>
  <c r="E214" i="1"/>
  <c r="N214" i="1" s="1"/>
  <c r="L214" i="1" s="1"/>
  <c r="R214" i="1" s="1"/>
  <c r="D218" i="1"/>
  <c r="E222" i="1"/>
  <c r="N222" i="1" s="1"/>
  <c r="L222" i="1" s="1"/>
  <c r="R222" i="1" s="1"/>
  <c r="S222" i="1" s="1"/>
  <c r="E226" i="1"/>
  <c r="N226" i="1" s="1"/>
  <c r="L226" i="1" s="1"/>
  <c r="R226" i="1" s="1"/>
  <c r="E230" i="1"/>
  <c r="N230" i="1" s="1"/>
  <c r="L230" i="1" s="1"/>
  <c r="R230" i="1" s="1"/>
  <c r="E81" i="1"/>
  <c r="F4" i="1"/>
  <c r="F6" i="1"/>
  <c r="F8" i="1"/>
  <c r="N8" i="1" s="1"/>
  <c r="O8" i="1" s="1"/>
  <c r="R8" i="1" s="1"/>
  <c r="F15" i="1"/>
  <c r="F20" i="1"/>
  <c r="F22" i="1"/>
  <c r="F24" i="1"/>
  <c r="F26" i="1"/>
  <c r="N26" i="1" s="1"/>
  <c r="O26" i="1" s="1"/>
  <c r="R26" i="1" s="1"/>
  <c r="S26" i="1" s="1"/>
  <c r="F28" i="1"/>
  <c r="F30" i="1"/>
  <c r="N30" i="1" s="1"/>
  <c r="O30" i="1" s="1"/>
  <c r="R30" i="1" s="1"/>
  <c r="S30" i="1" s="1"/>
  <c r="F83" i="1"/>
  <c r="N83" i="1" s="1"/>
  <c r="O83" i="1" s="1"/>
  <c r="R83" i="1" s="1"/>
  <c r="S83" i="1" s="1"/>
  <c r="F84" i="1"/>
  <c r="F82" i="1"/>
  <c r="E133" i="1"/>
  <c r="D133" i="1"/>
  <c r="E137" i="1"/>
  <c r="D137" i="1"/>
  <c r="E136" i="1"/>
  <c r="D136" i="1"/>
  <c r="D135" i="1"/>
  <c r="E135" i="1"/>
  <c r="E134" i="1"/>
  <c r="D134" i="1"/>
  <c r="E132" i="1"/>
  <c r="D132" i="1"/>
  <c r="E65" i="1"/>
  <c r="D65" i="1"/>
  <c r="E242" i="1"/>
  <c r="N242" i="1" s="1"/>
  <c r="L242" i="1" s="1"/>
  <c r="R242" i="1" s="1"/>
  <c r="D242" i="1"/>
  <c r="E241" i="1"/>
  <c r="N241" i="1" s="1"/>
  <c r="L241" i="1" s="1"/>
  <c r="R241" i="1" s="1"/>
  <c r="S241" i="1" s="1"/>
  <c r="D241" i="1"/>
  <c r="D240" i="1"/>
  <c r="E240" i="1"/>
  <c r="N240" i="1" s="1"/>
  <c r="L240" i="1" s="1"/>
  <c r="R240" i="1" s="1"/>
  <c r="D238" i="1"/>
  <c r="D239" i="1" s="1"/>
  <c r="E238" i="1"/>
  <c r="N238" i="1" s="1"/>
  <c r="L238" i="1" s="1"/>
  <c r="R238" i="1" s="1"/>
  <c r="S238" i="1" s="1"/>
  <c r="D237" i="1"/>
  <c r="E237" i="1"/>
  <c r="N237" i="1" s="1"/>
  <c r="L237" i="1" s="1"/>
  <c r="R237" i="1" s="1"/>
  <c r="S237" i="1" s="1"/>
  <c r="D236" i="1"/>
  <c r="E236" i="1"/>
  <c r="N236" i="1" s="1"/>
  <c r="L236" i="1" s="1"/>
  <c r="R236" i="1" s="1"/>
  <c r="E235" i="1"/>
  <c r="N235" i="1" s="1"/>
  <c r="L235" i="1" s="1"/>
  <c r="R235" i="1" s="1"/>
  <c r="D235" i="1"/>
  <c r="E66" i="1"/>
  <c r="D66" i="1"/>
  <c r="D81" i="1"/>
  <c r="E218" i="1"/>
  <c r="N218" i="1" s="1"/>
  <c r="L218" i="1" s="1"/>
  <c r="R218" i="1" s="1"/>
  <c r="E170" i="1"/>
  <c r="D164" i="1"/>
  <c r="E224" i="1"/>
  <c r="N224" i="1" s="1"/>
  <c r="L224" i="1" s="1"/>
  <c r="R224" i="1" s="1"/>
  <c r="E223" i="1"/>
  <c r="E220" i="1"/>
  <c r="N220" i="1" s="1"/>
  <c r="L220" i="1" s="1"/>
  <c r="R220" i="1" s="1"/>
  <c r="E179" i="1"/>
  <c r="E178" i="1"/>
  <c r="D177" i="1"/>
  <c r="E174" i="1"/>
  <c r="E166" i="1"/>
  <c r="E162" i="1"/>
  <c r="D231" i="1"/>
  <c r="D230" i="1"/>
  <c r="D229" i="1"/>
  <c r="D228" i="1"/>
  <c r="D227" i="1"/>
  <c r="D226" i="1"/>
  <c r="D225" i="1"/>
  <c r="D222" i="1"/>
  <c r="D221" i="1"/>
  <c r="D219" i="1"/>
  <c r="D217" i="1"/>
  <c r="D216" i="1"/>
  <c r="D215" i="1"/>
  <c r="D214" i="1"/>
  <c r="D213" i="1"/>
  <c r="D212" i="1"/>
  <c r="D211" i="1"/>
  <c r="D210" i="1"/>
  <c r="D209" i="1"/>
  <c r="D208" i="1"/>
  <c r="D207" i="1"/>
  <c r="D206" i="1"/>
  <c r="D204" i="1"/>
  <c r="D205" i="1" s="1"/>
  <c r="D203" i="1"/>
  <c r="D202" i="1"/>
  <c r="D201" i="1"/>
  <c r="D200" i="1"/>
  <c r="D198" i="1"/>
  <c r="D199" i="1" s="1"/>
  <c r="D197" i="1"/>
  <c r="D181" i="1"/>
  <c r="D180" i="1"/>
  <c r="D176" i="1"/>
  <c r="D175" i="1"/>
  <c r="D173" i="1"/>
  <c r="D172" i="1"/>
  <c r="D171" i="1"/>
  <c r="D168" i="1"/>
  <c r="D169" i="1" s="1"/>
  <c r="D167" i="1"/>
  <c r="D165" i="1"/>
  <c r="D163" i="1"/>
  <c r="D43" i="1"/>
  <c r="D42" i="1"/>
  <c r="D41" i="1"/>
  <c r="D40" i="1"/>
  <c r="D39" i="1"/>
  <c r="D38" i="1"/>
  <c r="D37" i="1"/>
  <c r="D36" i="1"/>
  <c r="D35" i="1"/>
  <c r="D34" i="1"/>
  <c r="D33" i="1"/>
  <c r="D32" i="1"/>
  <c r="D31" i="1"/>
  <c r="D126" i="1"/>
  <c r="E128" i="1"/>
  <c r="D125" i="1"/>
  <c r="D127" i="1"/>
  <c r="E131" i="1"/>
  <c r="D130" i="1"/>
  <c r="E129" i="1"/>
  <c r="B4" i="7"/>
  <c r="B5" i="7"/>
  <c r="B6" i="7"/>
  <c r="B7" i="7"/>
  <c r="B8" i="7"/>
  <c r="B9" i="7"/>
  <c r="B10" i="7"/>
  <c r="B11" i="7"/>
  <c r="B12" i="7"/>
  <c r="B13" i="7"/>
  <c r="B14" i="7"/>
  <c r="B15" i="7"/>
  <c r="B16" i="7"/>
  <c r="B17" i="7"/>
  <c r="B18" i="7"/>
  <c r="B19" i="7"/>
  <c r="B20" i="7"/>
  <c r="B21" i="7"/>
  <c r="B22" i="7"/>
  <c r="B23" i="7"/>
  <c r="B24" i="7"/>
  <c r="B25" i="7"/>
  <c r="B26" i="7"/>
  <c r="B27" i="7"/>
  <c r="B28" i="7"/>
  <c r="B29" i="7"/>
  <c r="B30" i="7"/>
  <c r="B31" i="7"/>
  <c r="B32" i="7"/>
  <c r="B33" i="7"/>
  <c r="B3" i="7"/>
  <c r="B45" i="11" l="1"/>
  <c r="A46" i="11"/>
  <c r="B42" i="14"/>
  <c r="A43" i="14"/>
  <c r="B33" i="14"/>
  <c r="A34" i="14"/>
  <c r="C13" i="18"/>
  <c r="C18" i="18"/>
  <c r="D20" i="17"/>
  <c r="C19" i="18"/>
  <c r="S39" i="1"/>
  <c r="C17" i="18"/>
  <c r="D32" i="17"/>
  <c r="C15" i="18"/>
  <c r="B31" i="17"/>
  <c r="J32" i="7"/>
  <c r="B30" i="17"/>
  <c r="J24" i="7"/>
  <c r="F103" i="17" s="1"/>
  <c r="B19" i="17"/>
  <c r="J20" i="7"/>
  <c r="F104" i="17" s="1"/>
  <c r="B21" i="17"/>
  <c r="J12" i="7"/>
  <c r="F106" i="17" s="1"/>
  <c r="B7" i="17"/>
  <c r="J8" i="7"/>
  <c r="F97" i="17" s="1"/>
  <c r="B32" i="17"/>
  <c r="J31" i="7"/>
  <c r="F108" i="17" s="1"/>
  <c r="J27" i="7"/>
  <c r="B18" i="17"/>
  <c r="B25" i="17"/>
  <c r="J23" i="7"/>
  <c r="B12" i="17"/>
  <c r="J19" i="7"/>
  <c r="B5" i="17"/>
  <c r="J15" i="7"/>
  <c r="F95" i="17" s="1"/>
  <c r="B16" i="17"/>
  <c r="J7" i="7"/>
  <c r="J3" i="7"/>
  <c r="F102" i="17" s="1"/>
  <c r="B14" i="17"/>
  <c r="B28" i="17"/>
  <c r="J30" i="7"/>
  <c r="B23" i="17"/>
  <c r="J22" i="7"/>
  <c r="F105" i="17" s="1"/>
  <c r="J18" i="7"/>
  <c r="F107" i="17" s="1"/>
  <c r="B26" i="17"/>
  <c r="B27" i="17"/>
  <c r="J14" i="7"/>
  <c r="J10" i="7"/>
  <c r="B17" i="17"/>
  <c r="B11" i="17"/>
  <c r="J6" i="7"/>
  <c r="F99" i="17" s="1"/>
  <c r="J33" i="7"/>
  <c r="B34" i="17"/>
  <c r="J29" i="7"/>
  <c r="B20" i="17"/>
  <c r="J25" i="7"/>
  <c r="B29" i="17"/>
  <c r="J21" i="7"/>
  <c r="F101" i="17" s="1"/>
  <c r="B13" i="17"/>
  <c r="J17" i="7"/>
  <c r="B22" i="17"/>
  <c r="J13" i="7"/>
  <c r="B10" i="17"/>
  <c r="J9" i="7"/>
  <c r="F98" i="17" s="1"/>
  <c r="B9" i="17"/>
  <c r="J5" i="7"/>
  <c r="F96" i="17" s="1"/>
  <c r="B6" i="17"/>
  <c r="B8" i="17"/>
  <c r="J28" i="7"/>
  <c r="B15" i="17"/>
  <c r="J16" i="7"/>
  <c r="F100" i="17" s="1"/>
  <c r="B4" i="17"/>
  <c r="J4" i="7"/>
  <c r="F94" i="17" s="1"/>
  <c r="B24" i="17"/>
  <c r="J11" i="7"/>
  <c r="J26" i="7"/>
  <c r="F109" i="17" s="1"/>
  <c r="B33" i="17"/>
  <c r="D16" i="17"/>
  <c r="S32" i="1"/>
  <c r="C11" i="17"/>
  <c r="S7" i="1"/>
  <c r="D13" i="17"/>
  <c r="D19" i="17"/>
  <c r="D21" i="17"/>
  <c r="D10" i="17"/>
  <c r="D12" i="17"/>
  <c r="S8" i="1"/>
  <c r="S221" i="1"/>
  <c r="D34" i="17" s="1"/>
  <c r="C34" i="17"/>
  <c r="S200" i="1"/>
  <c r="D27" i="17" s="1"/>
  <c r="C27" i="17"/>
  <c r="D15" i="17"/>
  <c r="D26" i="17"/>
  <c r="D9" i="17"/>
  <c r="D23" i="17"/>
  <c r="C9" i="17"/>
  <c r="C21" i="17"/>
  <c r="F32" i="1"/>
  <c r="F127" i="1"/>
  <c r="N127" i="1" s="1"/>
  <c r="O127" i="1" s="1"/>
  <c r="R127" i="1" s="1"/>
  <c r="S127" i="1" s="1"/>
  <c r="F43" i="1"/>
  <c r="N43" i="1" s="1"/>
  <c r="O43" i="1" s="1"/>
  <c r="R43" i="1" s="1"/>
  <c r="F37" i="1"/>
  <c r="F213" i="1"/>
  <c r="F221" i="1"/>
  <c r="E199" i="1"/>
  <c r="N199" i="1" s="1"/>
  <c r="L199" i="1" s="1"/>
  <c r="R199" i="1" s="1"/>
  <c r="F31" i="1"/>
  <c r="N31" i="1" s="1"/>
  <c r="O31" i="1" s="1"/>
  <c r="R31" i="1" s="1"/>
  <c r="F207" i="1"/>
  <c r="F130" i="1"/>
  <c r="N130" i="1" s="1"/>
  <c r="O130" i="1" s="1"/>
  <c r="R130" i="1" s="1"/>
  <c r="S130" i="1" s="1"/>
  <c r="F209" i="1"/>
  <c r="F179" i="1"/>
  <c r="N179" i="1" s="1"/>
  <c r="F35" i="1"/>
  <c r="F197" i="1"/>
  <c r="F211" i="1"/>
  <c r="F227" i="1"/>
  <c r="F125" i="1"/>
  <c r="N125" i="1" s="1"/>
  <c r="O125" i="1" s="1"/>
  <c r="R125" i="1" s="1"/>
  <c r="S125" i="1" s="1"/>
  <c r="F129" i="1"/>
  <c r="F40" i="1"/>
  <c r="F163" i="1"/>
  <c r="N163" i="1" s="1"/>
  <c r="F176" i="1"/>
  <c r="N176" i="1" s="1"/>
  <c r="F203" i="1"/>
  <c r="F212" i="1"/>
  <c r="F228" i="1"/>
  <c r="F34" i="1"/>
  <c r="F42" i="1"/>
  <c r="F223" i="1"/>
  <c r="N223" i="1"/>
  <c r="L223" i="1" s="1"/>
  <c r="R223" i="1" s="1"/>
  <c r="F36" i="1"/>
  <c r="F171" i="1"/>
  <c r="F178" i="1"/>
  <c r="N178" i="1" s="1"/>
  <c r="F81" i="1"/>
  <c r="N81" i="1"/>
  <c r="O81" i="1" s="1"/>
  <c r="R81" i="1" s="1"/>
  <c r="F229" i="1"/>
  <c r="F166" i="1"/>
  <c r="N166" i="1"/>
  <c r="E205" i="1"/>
  <c r="N205" i="1" s="1"/>
  <c r="L205" i="1" s="1"/>
  <c r="R205" i="1" s="1"/>
  <c r="F216" i="1"/>
  <c r="F208" i="1"/>
  <c r="F222" i="1"/>
  <c r="F162" i="1"/>
  <c r="N162" i="1" s="1"/>
  <c r="F224" i="1"/>
  <c r="F39" i="1"/>
  <c r="F175" i="1"/>
  <c r="N175" i="1" s="1"/>
  <c r="F202" i="1"/>
  <c r="F215" i="1"/>
  <c r="F231" i="1"/>
  <c r="F177" i="1"/>
  <c r="N177" i="1" s="1"/>
  <c r="F218" i="1"/>
  <c r="F173" i="1"/>
  <c r="N173" i="1" s="1"/>
  <c r="F181" i="1"/>
  <c r="N181" i="1" s="1"/>
  <c r="F210" i="1"/>
  <c r="F219" i="1"/>
  <c r="F226" i="1"/>
  <c r="F220" i="1"/>
  <c r="F237" i="1"/>
  <c r="F240" i="1"/>
  <c r="F135" i="1"/>
  <c r="N135" i="1" s="1"/>
  <c r="O135" i="1" s="1"/>
  <c r="R135" i="1" s="1"/>
  <c r="S135" i="1" s="1"/>
  <c r="F128" i="1"/>
  <c r="F33" i="1"/>
  <c r="F165" i="1"/>
  <c r="N165" i="1" s="1"/>
  <c r="F217" i="1"/>
  <c r="F41" i="1"/>
  <c r="F172" i="1"/>
  <c r="F180" i="1"/>
  <c r="N180" i="1" s="1"/>
  <c r="F200" i="1"/>
  <c r="F225" i="1"/>
  <c r="F164" i="1"/>
  <c r="N164" i="1" s="1"/>
  <c r="F131" i="1"/>
  <c r="N131" i="1" s="1"/>
  <c r="O131" i="1" s="1"/>
  <c r="R131" i="1" s="1"/>
  <c r="S131" i="1" s="1"/>
  <c r="F126" i="1"/>
  <c r="F38" i="1"/>
  <c r="F167" i="1"/>
  <c r="N167" i="1" s="1"/>
  <c r="F201" i="1"/>
  <c r="F206" i="1"/>
  <c r="F214" i="1"/>
  <c r="F230" i="1"/>
  <c r="F174" i="1"/>
  <c r="N174" i="1" s="1"/>
  <c r="F170" i="1"/>
  <c r="N170" i="1" s="1"/>
  <c r="F198" i="1"/>
  <c r="F236" i="1"/>
  <c r="F169" i="1"/>
  <c r="N169" i="1" s="1"/>
  <c r="F235" i="1"/>
  <c r="F242" i="1"/>
  <c r="F132" i="1"/>
  <c r="N132" i="1" s="1"/>
  <c r="O132" i="1" s="1"/>
  <c r="R132" i="1" s="1"/>
  <c r="S132" i="1" s="1"/>
  <c r="F137" i="1"/>
  <c r="N137" i="1" s="1"/>
  <c r="O137" i="1" s="1"/>
  <c r="R137" i="1" s="1"/>
  <c r="S137" i="1" s="1"/>
  <c r="F204" i="1"/>
  <c r="E239" i="1"/>
  <c r="F238" i="1"/>
  <c r="F66" i="1"/>
  <c r="N66" i="1" s="1"/>
  <c r="O66" i="1" s="1"/>
  <c r="R66" i="1" s="1"/>
  <c r="S66" i="1" s="1"/>
  <c r="F241" i="1"/>
  <c r="F65" i="1"/>
  <c r="N65" i="1" s="1"/>
  <c r="O65" i="1" s="1"/>
  <c r="R65" i="1" s="1"/>
  <c r="F134" i="1"/>
  <c r="N134" i="1" s="1"/>
  <c r="O134" i="1" s="1"/>
  <c r="R134" i="1" s="1"/>
  <c r="S134" i="1" s="1"/>
  <c r="F136" i="1"/>
  <c r="N136" i="1" s="1"/>
  <c r="O136" i="1" s="1"/>
  <c r="R136" i="1" s="1"/>
  <c r="S136" i="1" s="1"/>
  <c r="F133" i="1"/>
  <c r="N133" i="1" s="1"/>
  <c r="O133" i="1" s="1"/>
  <c r="R133" i="1" s="1"/>
  <c r="S133" i="1" s="1"/>
  <c r="F168" i="1"/>
  <c r="N168" i="1" s="1"/>
  <c r="B32" i="14" l="1"/>
  <c r="A33" i="14"/>
  <c r="A42" i="14"/>
  <c r="B41" i="14"/>
  <c r="B44" i="11"/>
  <c r="A45" i="11"/>
  <c r="C14" i="18"/>
  <c r="S43" i="1"/>
  <c r="D7" i="17" s="1"/>
  <c r="D50" i="17" s="1"/>
  <c r="D11" i="17"/>
  <c r="C57" i="17"/>
  <c r="D53" i="17"/>
  <c r="D54" i="17"/>
  <c r="D61" i="17"/>
  <c r="D60" i="17"/>
  <c r="C53" i="17"/>
  <c r="D57" i="17"/>
  <c r="C60" i="17"/>
  <c r="C62" i="17"/>
  <c r="D62" i="17"/>
  <c r="C56" i="17"/>
  <c r="C61" i="17"/>
  <c r="C54" i="17"/>
  <c r="C5" i="17"/>
  <c r="C48" i="17" s="1"/>
  <c r="C58" i="17"/>
  <c r="D58" i="17"/>
  <c r="C7" i="17"/>
  <c r="C50" i="17" s="1"/>
  <c r="D56" i="17"/>
  <c r="D59" i="17"/>
  <c r="C59" i="17"/>
  <c r="S65" i="1"/>
  <c r="C4" i="17"/>
  <c r="S199" i="1"/>
  <c r="D24" i="17" s="1"/>
  <c r="C24" i="17"/>
  <c r="C52" i="17" s="1"/>
  <c r="S81" i="1"/>
  <c r="C17" i="17"/>
  <c r="C51" i="17" s="1"/>
  <c r="D5" i="17"/>
  <c r="D48" i="17" s="1"/>
  <c r="S31" i="1"/>
  <c r="C6" i="17"/>
  <c r="C49" i="17" s="1"/>
  <c r="F199" i="1"/>
  <c r="F205" i="1"/>
  <c r="F239" i="1"/>
  <c r="N239" i="1"/>
  <c r="L239" i="1" s="1"/>
  <c r="R239" i="1" s="1"/>
  <c r="C14" i="17" s="1"/>
  <c r="C55" i="17" s="1"/>
  <c r="I204" i="1"/>
  <c r="S204" i="1" s="1"/>
  <c r="I208" i="1"/>
  <c r="S208" i="1" s="1"/>
  <c r="I212" i="1"/>
  <c r="S212" i="1" s="1"/>
  <c r="I216" i="1"/>
  <c r="S216" i="1" s="1"/>
  <c r="I220" i="1"/>
  <c r="S220" i="1" s="1"/>
  <c r="I224" i="1"/>
  <c r="S224" i="1" s="1"/>
  <c r="I228" i="1"/>
  <c r="S228" i="1" s="1"/>
  <c r="I232" i="1"/>
  <c r="S232" i="1" s="1"/>
  <c r="I236" i="1"/>
  <c r="S236" i="1" s="1"/>
  <c r="I240" i="1"/>
  <c r="S240" i="1" s="1"/>
  <c r="I248" i="1"/>
  <c r="S248" i="1" s="1"/>
  <c r="I252" i="1"/>
  <c r="S252" i="1" s="1"/>
  <c r="I211" i="1"/>
  <c r="S211" i="1" s="1"/>
  <c r="I219" i="1"/>
  <c r="S219" i="1" s="1"/>
  <c r="I227" i="1"/>
  <c r="S227" i="1" s="1"/>
  <c r="I235" i="1"/>
  <c r="S235" i="1" s="1"/>
  <c r="I251" i="1"/>
  <c r="S251" i="1" s="1"/>
  <c r="I259" i="1"/>
  <c r="S259" i="1" s="1"/>
  <c r="I197" i="1"/>
  <c r="S197" i="1" s="1"/>
  <c r="I205" i="1"/>
  <c r="S205" i="1" s="1"/>
  <c r="I209" i="1"/>
  <c r="S209" i="1" s="1"/>
  <c r="I213" i="1"/>
  <c r="S213" i="1" s="1"/>
  <c r="I217" i="1"/>
  <c r="S217" i="1" s="1"/>
  <c r="I225" i="1"/>
  <c r="S225" i="1" s="1"/>
  <c r="I249" i="1"/>
  <c r="S249" i="1" s="1"/>
  <c r="I257" i="1"/>
  <c r="S257" i="1" s="1"/>
  <c r="I198" i="1"/>
  <c r="S198" i="1" s="1"/>
  <c r="I206" i="1"/>
  <c r="S206" i="1" s="1"/>
  <c r="I210" i="1"/>
  <c r="S210" i="1" s="1"/>
  <c r="I214" i="1"/>
  <c r="S214" i="1" s="1"/>
  <c r="I218" i="1"/>
  <c r="S218" i="1" s="1"/>
  <c r="I226" i="1"/>
  <c r="S226" i="1" s="1"/>
  <c r="I230" i="1"/>
  <c r="S230" i="1" s="1"/>
  <c r="I234" i="1"/>
  <c r="S234" i="1" s="1"/>
  <c r="I242" i="1"/>
  <c r="S242" i="1" s="1"/>
  <c r="I254" i="1"/>
  <c r="S254" i="1" s="1"/>
  <c r="I203" i="1"/>
  <c r="S203" i="1" s="1"/>
  <c r="I207" i="1"/>
  <c r="S207" i="1" s="1"/>
  <c r="I215" i="1"/>
  <c r="S215" i="1" s="1"/>
  <c r="I223" i="1"/>
  <c r="S223" i="1" s="1"/>
  <c r="I231" i="1"/>
  <c r="S231" i="1" s="1"/>
  <c r="I239" i="1"/>
  <c r="I247" i="1"/>
  <c r="S247" i="1" s="1"/>
  <c r="I255" i="1"/>
  <c r="S255" i="1" s="1"/>
  <c r="E5" i="7"/>
  <c r="E6" i="7"/>
  <c r="E7" i="7"/>
  <c r="E8" i="7"/>
  <c r="E9" i="7"/>
  <c r="E10" i="7"/>
  <c r="E11" i="7"/>
  <c r="E12" i="7"/>
  <c r="E13" i="7"/>
  <c r="E14" i="7"/>
  <c r="E15" i="7"/>
  <c r="E16" i="7"/>
  <c r="E17" i="7"/>
  <c r="E18" i="7"/>
  <c r="E19" i="7"/>
  <c r="E20" i="7"/>
  <c r="E21" i="7"/>
  <c r="E22" i="7"/>
  <c r="E23" i="7"/>
  <c r="E24" i="7"/>
  <c r="E25" i="7"/>
  <c r="E26" i="7"/>
  <c r="E27" i="7"/>
  <c r="E28" i="7"/>
  <c r="E29" i="7"/>
  <c r="E30" i="7"/>
  <c r="E31" i="7"/>
  <c r="E32" i="7"/>
  <c r="O3" i="5"/>
  <c r="O4" i="5"/>
  <c r="O5" i="5"/>
  <c r="O6" i="5"/>
  <c r="O7" i="5"/>
  <c r="O8" i="5"/>
  <c r="O9" i="5"/>
  <c r="O10" i="5"/>
  <c r="O11" i="5"/>
  <c r="O12" i="5"/>
  <c r="O13" i="5"/>
  <c r="O14" i="5"/>
  <c r="O15" i="5"/>
  <c r="O16" i="5"/>
  <c r="O17" i="5"/>
  <c r="O18" i="5"/>
  <c r="O19" i="5"/>
  <c r="O20" i="5"/>
  <c r="O21" i="5"/>
  <c r="O22" i="5"/>
  <c r="O23" i="5"/>
  <c r="O24" i="5"/>
  <c r="O25" i="5"/>
  <c r="O26" i="5"/>
  <c r="O27" i="5"/>
  <c r="O28" i="5"/>
  <c r="O29" i="5"/>
  <c r="O30" i="5"/>
  <c r="O31" i="5"/>
  <c r="O32" i="5"/>
  <c r="O33" i="5"/>
  <c r="O34" i="5"/>
  <c r="O35" i="5"/>
  <c r="O36" i="5"/>
  <c r="O37" i="5"/>
  <c r="O38" i="5"/>
  <c r="O39" i="5"/>
  <c r="O40" i="5"/>
  <c r="O41" i="5"/>
  <c r="O42" i="5"/>
  <c r="O43" i="5"/>
  <c r="O44" i="5"/>
  <c r="O45" i="5"/>
  <c r="O46" i="5"/>
  <c r="O47" i="5"/>
  <c r="O48" i="5"/>
  <c r="O49" i="5"/>
  <c r="O50" i="5"/>
  <c r="O51" i="5"/>
  <c r="O52" i="5"/>
  <c r="O53" i="5"/>
  <c r="O54" i="5"/>
  <c r="O55" i="5"/>
  <c r="O56" i="5"/>
  <c r="O57" i="5"/>
  <c r="O58" i="5"/>
  <c r="O59" i="5"/>
  <c r="O60" i="5"/>
  <c r="O61" i="5"/>
  <c r="O62" i="5"/>
  <c r="O63" i="5"/>
  <c r="O64" i="5"/>
  <c r="O65" i="5"/>
  <c r="O66" i="5"/>
  <c r="O67" i="5"/>
  <c r="O68" i="5"/>
  <c r="O69" i="5"/>
  <c r="O70" i="5"/>
  <c r="O71" i="5"/>
  <c r="O72" i="5"/>
  <c r="O73" i="5"/>
  <c r="O74" i="5"/>
  <c r="O75" i="5"/>
  <c r="O76" i="5"/>
  <c r="O77" i="5"/>
  <c r="O78" i="5"/>
  <c r="O79" i="5"/>
  <c r="O80" i="5"/>
  <c r="O81" i="5"/>
  <c r="O82" i="5"/>
  <c r="O83" i="5"/>
  <c r="O84" i="5"/>
  <c r="O85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101" i="5"/>
  <c r="O102" i="5"/>
  <c r="O103" i="5"/>
  <c r="O104" i="5"/>
  <c r="O105" i="5"/>
  <c r="O106" i="5"/>
  <c r="O107" i="5"/>
  <c r="O108" i="5"/>
  <c r="O109" i="5"/>
  <c r="O110" i="5"/>
  <c r="O111" i="5"/>
  <c r="O112" i="5"/>
  <c r="O113" i="5"/>
  <c r="O114" i="5"/>
  <c r="O115" i="5"/>
  <c r="O116" i="5"/>
  <c r="O117" i="5"/>
  <c r="O118" i="5"/>
  <c r="O119" i="5"/>
  <c r="O120" i="5"/>
  <c r="O121" i="5"/>
  <c r="O122" i="5"/>
  <c r="O123" i="5"/>
  <c r="O124" i="5"/>
  <c r="O125" i="5"/>
  <c r="O126" i="5"/>
  <c r="O127" i="5"/>
  <c r="O128" i="5"/>
  <c r="O129" i="5"/>
  <c r="O130" i="5"/>
  <c r="O131" i="5"/>
  <c r="O132" i="5"/>
  <c r="O133" i="5"/>
  <c r="O134" i="5"/>
  <c r="O135" i="5"/>
  <c r="O136" i="5"/>
  <c r="O137" i="5"/>
  <c r="O138" i="5"/>
  <c r="O139" i="5"/>
  <c r="O140" i="5"/>
  <c r="O141" i="5"/>
  <c r="O142" i="5"/>
  <c r="O143" i="5"/>
  <c r="O144" i="5"/>
  <c r="O145" i="5"/>
  <c r="O146" i="5"/>
  <c r="O147" i="5"/>
  <c r="O148" i="5"/>
  <c r="O149" i="5"/>
  <c r="O150" i="5"/>
  <c r="O151" i="5"/>
  <c r="O152" i="5"/>
  <c r="O153" i="5"/>
  <c r="O154" i="5"/>
  <c r="O155" i="5"/>
  <c r="O156" i="5"/>
  <c r="O157" i="5"/>
  <c r="O158" i="5"/>
  <c r="O159" i="5"/>
  <c r="O160" i="5"/>
  <c r="O161" i="5"/>
  <c r="O162" i="5"/>
  <c r="O163" i="5"/>
  <c r="O164" i="5"/>
  <c r="O165" i="5"/>
  <c r="O166" i="5"/>
  <c r="O167" i="5"/>
  <c r="O168" i="5"/>
  <c r="O169" i="5"/>
  <c r="O170" i="5"/>
  <c r="O171" i="5"/>
  <c r="O172" i="5"/>
  <c r="O173" i="5"/>
  <c r="O174" i="5"/>
  <c r="O175" i="5"/>
  <c r="O176" i="5"/>
  <c r="O177" i="5"/>
  <c r="O178" i="5"/>
  <c r="O179" i="5"/>
  <c r="O180" i="5"/>
  <c r="O181" i="5"/>
  <c r="O182" i="5"/>
  <c r="O183" i="5"/>
  <c r="O184" i="5"/>
  <c r="O185" i="5"/>
  <c r="O186" i="5"/>
  <c r="O187" i="5"/>
  <c r="O188" i="5"/>
  <c r="O189" i="5"/>
  <c r="O190" i="5"/>
  <c r="O191" i="5"/>
  <c r="O192" i="5"/>
  <c r="O193" i="5"/>
  <c r="O194" i="5"/>
  <c r="O195" i="5"/>
  <c r="O196" i="5"/>
  <c r="O197" i="5"/>
  <c r="O198" i="5"/>
  <c r="O199" i="5"/>
  <c r="O200" i="5"/>
  <c r="O201" i="5"/>
  <c r="O202" i="5"/>
  <c r="O203" i="5"/>
  <c r="O204" i="5"/>
  <c r="O205" i="5"/>
  <c r="O206" i="5"/>
  <c r="O207" i="5"/>
  <c r="O208" i="5"/>
  <c r="O209" i="5"/>
  <c r="O210" i="5"/>
  <c r="O211" i="5"/>
  <c r="O212" i="5"/>
  <c r="O213" i="5"/>
  <c r="O214" i="5"/>
  <c r="O215" i="5"/>
  <c r="O216" i="5"/>
  <c r="O217" i="5"/>
  <c r="O218" i="5"/>
  <c r="O219" i="5"/>
  <c r="O220" i="5"/>
  <c r="O221" i="5"/>
  <c r="O222" i="5"/>
  <c r="O223" i="5"/>
  <c r="O224" i="5"/>
  <c r="O225" i="5"/>
  <c r="O226" i="5"/>
  <c r="O227" i="5"/>
  <c r="O228" i="5"/>
  <c r="O229" i="5"/>
  <c r="O230" i="5"/>
  <c r="O231" i="5"/>
  <c r="O232" i="5"/>
  <c r="O233" i="5"/>
  <c r="O234" i="5"/>
  <c r="O235" i="5"/>
  <c r="O236" i="5"/>
  <c r="O237" i="5"/>
  <c r="O238" i="5"/>
  <c r="O239" i="5"/>
  <c r="O240" i="5"/>
  <c r="O241" i="5"/>
  <c r="O242" i="5"/>
  <c r="O243" i="5"/>
  <c r="O244" i="5"/>
  <c r="O245" i="5"/>
  <c r="O246" i="5"/>
  <c r="O247" i="5"/>
  <c r="O248" i="5"/>
  <c r="O249" i="5"/>
  <c r="O250" i="5"/>
  <c r="O251" i="5"/>
  <c r="O252" i="5"/>
  <c r="O253" i="5"/>
  <c r="O254" i="5"/>
  <c r="O255" i="5"/>
  <c r="O256" i="5"/>
  <c r="O257" i="5"/>
  <c r="O258" i="5"/>
  <c r="O259" i="5"/>
  <c r="O260" i="5"/>
  <c r="O261" i="5"/>
  <c r="O262" i="5"/>
  <c r="O263" i="5"/>
  <c r="O264" i="5"/>
  <c r="O265" i="5"/>
  <c r="O266" i="5"/>
  <c r="O267" i="5"/>
  <c r="O268" i="5"/>
  <c r="O269" i="5"/>
  <c r="O270" i="5"/>
  <c r="O271" i="5"/>
  <c r="O272" i="5"/>
  <c r="O273" i="5"/>
  <c r="O274" i="5"/>
  <c r="O275" i="5"/>
  <c r="O276" i="5"/>
  <c r="O277" i="5"/>
  <c r="O278" i="5"/>
  <c r="O279" i="5"/>
  <c r="O280" i="5"/>
  <c r="O281" i="5"/>
  <c r="O282" i="5"/>
  <c r="O283" i="5"/>
  <c r="O284" i="5"/>
  <c r="O285" i="5"/>
  <c r="O286" i="5"/>
  <c r="O287" i="5"/>
  <c r="O288" i="5"/>
  <c r="O289" i="5"/>
  <c r="O290" i="5"/>
  <c r="O291" i="5"/>
  <c r="O292" i="5"/>
  <c r="O293" i="5"/>
  <c r="O294" i="5"/>
  <c r="O295" i="5"/>
  <c r="O296" i="5"/>
  <c r="O297" i="5"/>
  <c r="O298" i="5"/>
  <c r="O299" i="5"/>
  <c r="O300" i="5"/>
  <c r="O301" i="5"/>
  <c r="O302" i="5"/>
  <c r="O303" i="5"/>
  <c r="O304" i="5"/>
  <c r="O305" i="5"/>
  <c r="O306" i="5"/>
  <c r="O307" i="5"/>
  <c r="O308" i="5"/>
  <c r="O309" i="5"/>
  <c r="O310" i="5"/>
  <c r="O311" i="5"/>
  <c r="O312" i="5"/>
  <c r="O313" i="5"/>
  <c r="O314" i="5"/>
  <c r="O315" i="5"/>
  <c r="O316" i="5"/>
  <c r="O317" i="5"/>
  <c r="O318" i="5"/>
  <c r="O319" i="5"/>
  <c r="O320" i="5"/>
  <c r="O321" i="5"/>
  <c r="O322" i="5"/>
  <c r="O323" i="5"/>
  <c r="O324" i="5"/>
  <c r="O325" i="5"/>
  <c r="O326" i="5"/>
  <c r="O327" i="5"/>
  <c r="O328" i="5"/>
  <c r="O329" i="5"/>
  <c r="O330" i="5"/>
  <c r="O331" i="5"/>
  <c r="O332" i="5"/>
  <c r="O333" i="5"/>
  <c r="O334" i="5"/>
  <c r="O335" i="5"/>
  <c r="O336" i="5"/>
  <c r="O337" i="5"/>
  <c r="O338" i="5"/>
  <c r="O339" i="5"/>
  <c r="O340" i="5"/>
  <c r="O341" i="5"/>
  <c r="O342" i="5"/>
  <c r="O343" i="5"/>
  <c r="O344" i="5"/>
  <c r="O345" i="5"/>
  <c r="O346" i="5"/>
  <c r="O347" i="5"/>
  <c r="O348" i="5"/>
  <c r="O349" i="5"/>
  <c r="O350" i="5"/>
  <c r="O351" i="5"/>
  <c r="O352" i="5"/>
  <c r="O353" i="5"/>
  <c r="O354" i="5"/>
  <c r="O355" i="5"/>
  <c r="O356" i="5"/>
  <c r="O357" i="5"/>
  <c r="O358" i="5"/>
  <c r="O359" i="5"/>
  <c r="O360" i="5"/>
  <c r="O361" i="5"/>
  <c r="O362" i="5"/>
  <c r="O363" i="5"/>
  <c r="O364" i="5"/>
  <c r="O365" i="5"/>
  <c r="O366" i="5"/>
  <c r="O367" i="5"/>
  <c r="O368" i="5"/>
  <c r="O369" i="5"/>
  <c r="O370" i="5"/>
  <c r="O371" i="5"/>
  <c r="O372" i="5"/>
  <c r="O373" i="5"/>
  <c r="O374" i="5"/>
  <c r="O375" i="5"/>
  <c r="O376" i="5"/>
  <c r="O377" i="5"/>
  <c r="O378" i="5"/>
  <c r="O379" i="5"/>
  <c r="O380" i="5"/>
  <c r="O381" i="5"/>
  <c r="O382" i="5"/>
  <c r="O383" i="5"/>
  <c r="O384" i="5"/>
  <c r="O385" i="5"/>
  <c r="O386" i="5"/>
  <c r="O387" i="5"/>
  <c r="O388" i="5"/>
  <c r="O389" i="5"/>
  <c r="O390" i="5"/>
  <c r="O391" i="5"/>
  <c r="O392" i="5"/>
  <c r="O393" i="5"/>
  <c r="O394" i="5"/>
  <c r="O395" i="5"/>
  <c r="O396" i="5"/>
  <c r="O397" i="5"/>
  <c r="O398" i="5"/>
  <c r="O399" i="5"/>
  <c r="O400" i="5"/>
  <c r="O401" i="5"/>
  <c r="O402" i="5"/>
  <c r="O403" i="5"/>
  <c r="O404" i="5"/>
  <c r="O405" i="5"/>
  <c r="O406" i="5"/>
  <c r="O407" i="5"/>
  <c r="O408" i="5"/>
  <c r="O409" i="5"/>
  <c r="O410" i="5"/>
  <c r="O411" i="5"/>
  <c r="O412" i="5"/>
  <c r="O413" i="5"/>
  <c r="O414" i="5"/>
  <c r="O415" i="5"/>
  <c r="O416" i="5"/>
  <c r="O417" i="5"/>
  <c r="O418" i="5"/>
  <c r="O419" i="5"/>
  <c r="O420" i="5"/>
  <c r="O421" i="5"/>
  <c r="O422" i="5"/>
  <c r="O423" i="5"/>
  <c r="O424" i="5"/>
  <c r="O425" i="5"/>
  <c r="O426" i="5"/>
  <c r="O427" i="5"/>
  <c r="O428" i="5"/>
  <c r="O429" i="5"/>
  <c r="O430" i="5"/>
  <c r="O431" i="5"/>
  <c r="O432" i="5"/>
  <c r="O433" i="5"/>
  <c r="O434" i="5"/>
  <c r="O435" i="5"/>
  <c r="O436" i="5"/>
  <c r="O437" i="5"/>
  <c r="O438" i="5"/>
  <c r="O439" i="5"/>
  <c r="O440" i="5"/>
  <c r="O441" i="5"/>
  <c r="O442" i="5"/>
  <c r="O443" i="5"/>
  <c r="O444" i="5"/>
  <c r="O445" i="5"/>
  <c r="O446" i="5"/>
  <c r="O447" i="5"/>
  <c r="O448" i="5"/>
  <c r="O449" i="5"/>
  <c r="O450" i="5"/>
  <c r="O451" i="5"/>
  <c r="O452" i="5"/>
  <c r="O453" i="5"/>
  <c r="O454" i="5"/>
  <c r="O455" i="5"/>
  <c r="O456" i="5"/>
  <c r="O457" i="5"/>
  <c r="O458" i="5"/>
  <c r="O459" i="5"/>
  <c r="O460" i="5"/>
  <c r="O461" i="5"/>
  <c r="O462" i="5"/>
  <c r="O463" i="5"/>
  <c r="O464" i="5"/>
  <c r="O465" i="5"/>
  <c r="O466" i="5"/>
  <c r="O467" i="5"/>
  <c r="O468" i="5"/>
  <c r="O469" i="5"/>
  <c r="O470" i="5"/>
  <c r="O471" i="5"/>
  <c r="O472" i="5"/>
  <c r="O473" i="5"/>
  <c r="O474" i="5"/>
  <c r="O475" i="5"/>
  <c r="O476" i="5"/>
  <c r="O477" i="5"/>
  <c r="O478" i="5"/>
  <c r="O479" i="5"/>
  <c r="O480" i="5"/>
  <c r="O481" i="5"/>
  <c r="O482" i="5"/>
  <c r="O483" i="5"/>
  <c r="O2" i="5"/>
  <c r="A44" i="11" l="1"/>
  <c r="B43" i="11"/>
  <c r="B40" i="14"/>
  <c r="A40" i="14" s="1"/>
  <c r="A41" i="14"/>
  <c r="B31" i="14"/>
  <c r="A32" i="14"/>
  <c r="D6" i="17"/>
  <c r="D49" i="17" s="1"/>
  <c r="D17" i="17"/>
  <c r="D51" i="17" s="1"/>
  <c r="D4" i="17"/>
  <c r="D47" i="17" s="1"/>
  <c r="C35" i="17"/>
  <c r="F7" i="18" s="1"/>
  <c r="H7" i="18" s="1"/>
  <c r="C47" i="17"/>
  <c r="D52" i="17"/>
  <c r="G14" i="17"/>
  <c r="G11" i="17"/>
  <c r="G27" i="17"/>
  <c r="G17" i="17"/>
  <c r="G7" i="17"/>
  <c r="G9" i="17"/>
  <c r="G21" i="17"/>
  <c r="G6" i="17"/>
  <c r="G24" i="17"/>
  <c r="G34" i="17"/>
  <c r="G5" i="17"/>
  <c r="L4" i="17"/>
  <c r="G4" i="17"/>
  <c r="H4" i="17" s="1"/>
  <c r="G31" i="17"/>
  <c r="G22" i="17"/>
  <c r="G33" i="17"/>
  <c r="G8" i="17"/>
  <c r="G15" i="17"/>
  <c r="G30" i="17"/>
  <c r="G18" i="17"/>
  <c r="G28" i="17"/>
  <c r="G20" i="17"/>
  <c r="G16" i="17"/>
  <c r="G29" i="17"/>
  <c r="G32" i="17"/>
  <c r="G23" i="17"/>
  <c r="G25" i="17"/>
  <c r="G13" i="17"/>
  <c r="G10" i="17"/>
  <c r="G19" i="17"/>
  <c r="G12" i="17"/>
  <c r="G26" i="17"/>
  <c r="S239" i="1"/>
  <c r="D14" i="17" s="1"/>
  <c r="K34" i="7"/>
  <c r="G21" i="7" s="1"/>
  <c r="B30" i="14" l="1"/>
  <c r="A31" i="14"/>
  <c r="B42" i="11"/>
  <c r="A43" i="11"/>
  <c r="AB4" i="17"/>
  <c r="C16" i="18"/>
  <c r="E14" i="17"/>
  <c r="D55" i="17"/>
  <c r="O47" i="17" s="1"/>
  <c r="L47" i="17"/>
  <c r="C63" i="17"/>
  <c r="D35" i="17"/>
  <c r="F6" i="18" s="1"/>
  <c r="E8" i="17"/>
  <c r="E28" i="17"/>
  <c r="E33" i="17"/>
  <c r="L5" i="17"/>
  <c r="K4" i="17"/>
  <c r="E21" i="17"/>
  <c r="E27" i="17"/>
  <c r="E34" i="17"/>
  <c r="E6" i="17"/>
  <c r="E24" i="17"/>
  <c r="E5" i="17"/>
  <c r="E7" i="17"/>
  <c r="E20" i="17"/>
  <c r="E32" i="17"/>
  <c r="E4" i="17"/>
  <c r="F4" i="17" s="1"/>
  <c r="E12" i="17"/>
  <c r="E16" i="17"/>
  <c r="E10" i="17"/>
  <c r="E29" i="17"/>
  <c r="E25" i="17"/>
  <c r="E31" i="17"/>
  <c r="O4" i="17"/>
  <c r="E9" i="17"/>
  <c r="E11" i="17"/>
  <c r="H5" i="17"/>
  <c r="H6" i="17" s="1"/>
  <c r="E26" i="17"/>
  <c r="E23" i="17"/>
  <c r="E17" i="17"/>
  <c r="E19" i="17"/>
  <c r="E18" i="17"/>
  <c r="E30" i="17"/>
  <c r="E22" i="17"/>
  <c r="E15" i="17"/>
  <c r="E13" i="17"/>
  <c r="G25" i="7"/>
  <c r="G33" i="7"/>
  <c r="G19" i="7"/>
  <c r="G23" i="7"/>
  <c r="G13" i="7"/>
  <c r="G11" i="7"/>
  <c r="G6" i="7"/>
  <c r="G28" i="7"/>
  <c r="G18" i="7"/>
  <c r="G3" i="7"/>
  <c r="H3" i="7" s="1"/>
  <c r="G22" i="7"/>
  <c r="G10" i="7"/>
  <c r="G26" i="7"/>
  <c r="G20" i="7"/>
  <c r="G31" i="7"/>
  <c r="G14" i="7"/>
  <c r="G9" i="7"/>
  <c r="G16" i="7"/>
  <c r="G24" i="7"/>
  <c r="G15" i="7"/>
  <c r="G4" i="7"/>
  <c r="G7" i="7"/>
  <c r="G8" i="7"/>
  <c r="G27" i="7"/>
  <c r="G12" i="7"/>
  <c r="G17" i="7"/>
  <c r="G32" i="7"/>
  <c r="G30" i="7"/>
  <c r="G5" i="7"/>
  <c r="G29" i="7"/>
  <c r="I6" i="18" l="1"/>
  <c r="H6" i="18"/>
  <c r="B41" i="11"/>
  <c r="A42" i="11"/>
  <c r="B29" i="14"/>
  <c r="A30" i="14"/>
  <c r="AB5" i="17"/>
  <c r="D16" i="18"/>
  <c r="D14" i="18"/>
  <c r="D19" i="18"/>
  <c r="D18" i="18"/>
  <c r="D17" i="18"/>
  <c r="D15" i="18"/>
  <c r="O48" i="17"/>
  <c r="N47" i="17"/>
  <c r="K47" i="17"/>
  <c r="L48" i="17"/>
  <c r="D63" i="17"/>
  <c r="F5" i="17"/>
  <c r="F6" i="17" s="1"/>
  <c r="F7" i="17" s="1"/>
  <c r="F8" i="17" s="1"/>
  <c r="F9" i="17" s="1"/>
  <c r="F10" i="17" s="1"/>
  <c r="F11" i="17" s="1"/>
  <c r="F12" i="17" s="1"/>
  <c r="F13" i="17" s="1"/>
  <c r="F14" i="17" s="1"/>
  <c r="F15" i="17" s="1"/>
  <c r="F16" i="17" s="1"/>
  <c r="F17" i="17" s="1"/>
  <c r="F18" i="17" s="1"/>
  <c r="F19" i="17" s="1"/>
  <c r="F20" i="17" s="1"/>
  <c r="F21" i="17" s="1"/>
  <c r="F22" i="17" s="1"/>
  <c r="F23" i="17" s="1"/>
  <c r="F24" i="17" s="1"/>
  <c r="F25" i="17" s="1"/>
  <c r="F26" i="17" s="1"/>
  <c r="F27" i="17" s="1"/>
  <c r="F28" i="17" s="1"/>
  <c r="F29" i="17" s="1"/>
  <c r="F30" i="17" s="1"/>
  <c r="F31" i="17" s="1"/>
  <c r="F32" i="17" s="1"/>
  <c r="F33" i="17" s="1"/>
  <c r="F34" i="17" s="1"/>
  <c r="N4" i="17"/>
  <c r="O5" i="17"/>
  <c r="L6" i="17"/>
  <c r="K5" i="17"/>
  <c r="H4" i="7"/>
  <c r="H5" i="7" s="1"/>
  <c r="H6" i="7" s="1"/>
  <c r="H7" i="7" s="1"/>
  <c r="H8" i="7" s="1"/>
  <c r="H9" i="7" s="1"/>
  <c r="H10" i="7" s="1"/>
  <c r="H11" i="7" s="1"/>
  <c r="H12" i="7" s="1"/>
  <c r="H13" i="7" s="1"/>
  <c r="H14" i="7" s="1"/>
  <c r="H15" i="7" s="1"/>
  <c r="H16" i="7" s="1"/>
  <c r="H17" i="7" s="1"/>
  <c r="H18" i="7" s="1"/>
  <c r="H19" i="7" s="1"/>
  <c r="H20" i="7" s="1"/>
  <c r="H21" i="7" s="1"/>
  <c r="H22" i="7" s="1"/>
  <c r="H23" i="7" s="1"/>
  <c r="H24" i="7" s="1"/>
  <c r="H25" i="7" s="1"/>
  <c r="H26" i="7" s="1"/>
  <c r="H27" i="7" s="1"/>
  <c r="H28" i="7" s="1"/>
  <c r="H29" i="7" s="1"/>
  <c r="H30" i="7" s="1"/>
  <c r="H31" i="7" s="1"/>
  <c r="H32" i="7" s="1"/>
  <c r="H33" i="7" s="1"/>
  <c r="H34" i="7" s="1"/>
  <c r="H7" i="17"/>
  <c r="H8" i="17" s="1"/>
  <c r="H9" i="17" s="1"/>
  <c r="H10" i="17" s="1"/>
  <c r="H11" i="17" s="1"/>
  <c r="H12" i="17" s="1"/>
  <c r="H13" i="17" s="1"/>
  <c r="H14" i="17" s="1"/>
  <c r="H15" i="17" s="1"/>
  <c r="H16" i="17" s="1"/>
  <c r="H17" i="17" s="1"/>
  <c r="H18" i="17" s="1"/>
  <c r="H19" i="17" s="1"/>
  <c r="H20" i="17" s="1"/>
  <c r="H21" i="17" s="1"/>
  <c r="H22" i="17" s="1"/>
  <c r="H23" i="17" s="1"/>
  <c r="H24" i="17" s="1"/>
  <c r="H25" i="17" s="1"/>
  <c r="H26" i="17" s="1"/>
  <c r="H27" i="17" s="1"/>
  <c r="H28" i="17" s="1"/>
  <c r="H29" i="17" s="1"/>
  <c r="H30" i="17" s="1"/>
  <c r="H31" i="17" s="1"/>
  <c r="H32" i="17" s="1"/>
  <c r="H33" i="17" s="1"/>
  <c r="H34" i="17" s="1"/>
  <c r="B28" i="14" l="1"/>
  <c r="A29" i="14"/>
  <c r="B40" i="11"/>
  <c r="A41" i="11"/>
  <c r="AB6" i="17"/>
  <c r="L49" i="17"/>
  <c r="K48" i="17"/>
  <c r="N48" i="17"/>
  <c r="O49" i="17"/>
  <c r="K6" i="17"/>
  <c r="L7" i="17"/>
  <c r="N5" i="17"/>
  <c r="O6" i="17"/>
  <c r="B39" i="11" l="1"/>
  <c r="A40" i="11"/>
  <c r="B27" i="14"/>
  <c r="A28" i="14"/>
  <c r="AB7" i="17"/>
  <c r="K49" i="17"/>
  <c r="L50" i="17"/>
  <c r="N49" i="17"/>
  <c r="O50" i="17"/>
  <c r="K7" i="17"/>
  <c r="L8" i="17"/>
  <c r="O7" i="17"/>
  <c r="N6" i="17"/>
  <c r="B26" i="14" l="1"/>
  <c r="A27" i="14"/>
  <c r="A39" i="11"/>
  <c r="B38" i="11"/>
  <c r="AB8" i="17"/>
  <c r="K50" i="17"/>
  <c r="L51" i="17"/>
  <c r="O51" i="17"/>
  <c r="N50" i="17"/>
  <c r="L9" i="17"/>
  <c r="K8" i="17"/>
  <c r="N7" i="17"/>
  <c r="O8" i="17"/>
  <c r="B37" i="11" l="1"/>
  <c r="A38" i="11"/>
  <c r="B25" i="14"/>
  <c r="A26" i="14"/>
  <c r="AB9" i="17"/>
  <c r="K51" i="17"/>
  <c r="L52" i="17"/>
  <c r="O52" i="17"/>
  <c r="N51" i="17"/>
  <c r="O9" i="17"/>
  <c r="N8" i="17"/>
  <c r="K9" i="17"/>
  <c r="L10" i="17"/>
  <c r="B24" i="14" l="1"/>
  <c r="A25" i="14"/>
  <c r="B36" i="11"/>
  <c r="A37" i="11"/>
  <c r="AB10" i="17"/>
  <c r="K52" i="17"/>
  <c r="L53" i="17"/>
  <c r="O53" i="17"/>
  <c r="N52" i="17"/>
  <c r="L11" i="17"/>
  <c r="K10" i="17"/>
  <c r="O10" i="17"/>
  <c r="N9" i="17"/>
  <c r="B35" i="11" l="1"/>
  <c r="A36" i="11"/>
  <c r="A24" i="14"/>
  <c r="B23" i="14"/>
  <c r="AB11" i="17"/>
  <c r="K53" i="17"/>
  <c r="L54" i="17"/>
  <c r="O54" i="17"/>
  <c r="N53" i="17"/>
  <c r="N10" i="17"/>
  <c r="O11" i="17"/>
  <c r="L12" i="17"/>
  <c r="K11" i="17"/>
  <c r="A23" i="14" l="1"/>
  <c r="B22" i="14"/>
  <c r="B34" i="11"/>
  <c r="A35" i="11"/>
  <c r="AB12" i="17"/>
  <c r="K54" i="17"/>
  <c r="L55" i="17"/>
  <c r="O55" i="17"/>
  <c r="N54" i="17"/>
  <c r="O12" i="17"/>
  <c r="N11" i="17"/>
  <c r="L13" i="17"/>
  <c r="K12" i="17"/>
  <c r="B33" i="11" l="1"/>
  <c r="A34" i="11"/>
  <c r="B21" i="14"/>
  <c r="A22" i="14"/>
  <c r="AB13" i="17"/>
  <c r="O56" i="17"/>
  <c r="N55" i="17"/>
  <c r="K55" i="17"/>
  <c r="L56" i="17"/>
  <c r="K13" i="17"/>
  <c r="L14" i="17"/>
  <c r="N12" i="17"/>
  <c r="O13" i="17"/>
  <c r="B20" i="14" l="1"/>
  <c r="A20" i="14" s="1"/>
  <c r="A21" i="14"/>
  <c r="B32" i="11"/>
  <c r="A33" i="11"/>
  <c r="AB14" i="17"/>
  <c r="K56" i="17"/>
  <c r="L57" i="17"/>
  <c r="O57" i="17"/>
  <c r="N56" i="17"/>
  <c r="K14" i="17"/>
  <c r="L15" i="17"/>
  <c r="N13" i="17"/>
  <c r="O14" i="17"/>
  <c r="B31" i="11" l="1"/>
  <c r="A32" i="11"/>
  <c r="AB15" i="17"/>
  <c r="K57" i="17"/>
  <c r="L58" i="17"/>
  <c r="O58" i="17"/>
  <c r="N57" i="17"/>
  <c r="L16" i="17"/>
  <c r="K15" i="17"/>
  <c r="N14" i="17"/>
  <c r="O15" i="17"/>
  <c r="B30" i="11" l="1"/>
  <c r="A31" i="11"/>
  <c r="AB16" i="17"/>
  <c r="O59" i="17"/>
  <c r="N58" i="17"/>
  <c r="K58" i="17"/>
  <c r="L59" i="17"/>
  <c r="N15" i="17"/>
  <c r="O16" i="17"/>
  <c r="L17" i="17"/>
  <c r="K16" i="17"/>
  <c r="B29" i="11" l="1"/>
  <c r="A30" i="11"/>
  <c r="AB17" i="17"/>
  <c r="K59" i="17"/>
  <c r="L60" i="17"/>
  <c r="O60" i="17"/>
  <c r="N59" i="17"/>
  <c r="O17" i="17"/>
  <c r="N16" i="17"/>
  <c r="L18" i="17"/>
  <c r="K17" i="17"/>
  <c r="B28" i="11" l="1"/>
  <c r="A29" i="11"/>
  <c r="AB18" i="17"/>
  <c r="O61" i="17"/>
  <c r="N60" i="17"/>
  <c r="K60" i="17"/>
  <c r="L61" i="17"/>
  <c r="L19" i="17"/>
  <c r="K18" i="17"/>
  <c r="O18" i="17"/>
  <c r="N17" i="17"/>
  <c r="B27" i="11" l="1"/>
  <c r="A28" i="11"/>
  <c r="AB19" i="17"/>
  <c r="K61" i="17"/>
  <c r="L62" i="17"/>
  <c r="O62" i="17"/>
  <c r="Y60" i="17" s="1"/>
  <c r="Z60" i="17" s="1"/>
  <c r="N61" i="17"/>
  <c r="O19" i="17"/>
  <c r="N18" i="17"/>
  <c r="L20" i="17"/>
  <c r="K19" i="17"/>
  <c r="B26" i="11" l="1"/>
  <c r="A27" i="11"/>
  <c r="Y55" i="17"/>
  <c r="Z55" i="17" s="1"/>
  <c r="Y59" i="17"/>
  <c r="Z59" i="17" s="1"/>
  <c r="AA62" i="17"/>
  <c r="AB62" i="17" s="1"/>
  <c r="AA47" i="17"/>
  <c r="AB47" i="17" s="1"/>
  <c r="AA49" i="17"/>
  <c r="AB49" i="17" s="1"/>
  <c r="AA48" i="17"/>
  <c r="AB48" i="17" s="1"/>
  <c r="AA50" i="17"/>
  <c r="AB50" i="17" s="1"/>
  <c r="AA51" i="17"/>
  <c r="AB51" i="17" s="1"/>
  <c r="AA53" i="17"/>
  <c r="AB53" i="17" s="1"/>
  <c r="AA52" i="17"/>
  <c r="AB52" i="17" s="1"/>
  <c r="AA54" i="17"/>
  <c r="AB54" i="17" s="1"/>
  <c r="AA56" i="17"/>
  <c r="AB56" i="17" s="1"/>
  <c r="AA58" i="17"/>
  <c r="AB58" i="17" s="1"/>
  <c r="AA57" i="17"/>
  <c r="AB57" i="17" s="1"/>
  <c r="AA55" i="17"/>
  <c r="AB55" i="17" s="1"/>
  <c r="AA61" i="17"/>
  <c r="AB61" i="17" s="1"/>
  <c r="AA60" i="17"/>
  <c r="AB60" i="17" s="1"/>
  <c r="AB20" i="17"/>
  <c r="Y62" i="17"/>
  <c r="Z62" i="17" s="1"/>
  <c r="Y47" i="17"/>
  <c r="Z47" i="17" s="1"/>
  <c r="Y48" i="17"/>
  <c r="Z48" i="17" s="1"/>
  <c r="Y49" i="17"/>
  <c r="Z49" i="17" s="1"/>
  <c r="Y50" i="17"/>
  <c r="Z50" i="17" s="1"/>
  <c r="Y51" i="17"/>
  <c r="Z51" i="17" s="1"/>
  <c r="Y53" i="17"/>
  <c r="Z53" i="17" s="1"/>
  <c r="Y52" i="17"/>
  <c r="Z52" i="17" s="1"/>
  <c r="Y56" i="17"/>
  <c r="Z56" i="17" s="1"/>
  <c r="Y58" i="17"/>
  <c r="Z58" i="17" s="1"/>
  <c r="Y54" i="17"/>
  <c r="Z54" i="17" s="1"/>
  <c r="AA59" i="17"/>
  <c r="AB59" i="17" s="1"/>
  <c r="Y57" i="17"/>
  <c r="Z57" i="17" s="1"/>
  <c r="Y61" i="17"/>
  <c r="Z61" i="17" s="1"/>
  <c r="N62" i="17"/>
  <c r="P47" i="17"/>
  <c r="P48" i="17" s="1"/>
  <c r="P49" i="17" s="1"/>
  <c r="P50" i="17" s="1"/>
  <c r="P51" i="17" s="1"/>
  <c r="P52" i="17" s="1"/>
  <c r="P53" i="17" s="1"/>
  <c r="P54" i="17" s="1"/>
  <c r="P55" i="17" s="1"/>
  <c r="P56" i="17" s="1"/>
  <c r="P57" i="17" s="1"/>
  <c r="P58" i="17" s="1"/>
  <c r="P59" i="17" s="1"/>
  <c r="P60" i="17" s="1"/>
  <c r="P61" i="17" s="1"/>
  <c r="P62" i="17" s="1"/>
  <c r="O63" i="17"/>
  <c r="K62" i="17"/>
  <c r="L63" i="17"/>
  <c r="M47" i="17"/>
  <c r="M48" i="17" s="1"/>
  <c r="M49" i="17" s="1"/>
  <c r="M50" i="17" s="1"/>
  <c r="M51" i="17" s="1"/>
  <c r="M52" i="17" s="1"/>
  <c r="M53" i="17" s="1"/>
  <c r="M54" i="17" s="1"/>
  <c r="M55" i="17" s="1"/>
  <c r="M56" i="17" s="1"/>
  <c r="M57" i="17" s="1"/>
  <c r="M58" i="17" s="1"/>
  <c r="M59" i="17" s="1"/>
  <c r="M60" i="17" s="1"/>
  <c r="M61" i="17" s="1"/>
  <c r="M62" i="17" s="1"/>
  <c r="L21" i="17"/>
  <c r="K20" i="17"/>
  <c r="N19" i="17"/>
  <c r="O20" i="17"/>
  <c r="B25" i="11" l="1"/>
  <c r="A26" i="11"/>
  <c r="AB21" i="17"/>
  <c r="O21" i="17"/>
  <c r="N20" i="17"/>
  <c r="K21" i="17"/>
  <c r="L22" i="17"/>
  <c r="B24" i="11" l="1"/>
  <c r="A25" i="11"/>
  <c r="AB22" i="17"/>
  <c r="L23" i="17"/>
  <c r="K22" i="17"/>
  <c r="O22" i="17"/>
  <c r="N21" i="17"/>
  <c r="B23" i="11" l="1"/>
  <c r="A24" i="11"/>
  <c r="AB23" i="17"/>
  <c r="K23" i="17"/>
  <c r="L24" i="17"/>
  <c r="N22" i="17"/>
  <c r="O23" i="17"/>
  <c r="B22" i="11" l="1"/>
  <c r="A23" i="11"/>
  <c r="AB24" i="17"/>
  <c r="O24" i="17"/>
  <c r="N23" i="17"/>
  <c r="L25" i="17"/>
  <c r="K24" i="17"/>
  <c r="B21" i="11" l="1"/>
  <c r="A22" i="11"/>
  <c r="AB25" i="17"/>
  <c r="N24" i="17"/>
  <c r="O25" i="17"/>
  <c r="L26" i="17"/>
  <c r="K25" i="17"/>
  <c r="A21" i="11" l="1"/>
  <c r="B20" i="11"/>
  <c r="AB26" i="17"/>
  <c r="O26" i="17"/>
  <c r="N25" i="17"/>
  <c r="K26" i="17"/>
  <c r="L27" i="17"/>
  <c r="B19" i="11" l="1"/>
  <c r="A20" i="11"/>
  <c r="AB27" i="17"/>
  <c r="K27" i="17"/>
  <c r="L28" i="17"/>
  <c r="N26" i="17"/>
  <c r="O27" i="17"/>
  <c r="B18" i="11" l="1"/>
  <c r="A19" i="11"/>
  <c r="AB28" i="17"/>
  <c r="N27" i="17"/>
  <c r="O28" i="17"/>
  <c r="L29" i="17"/>
  <c r="K28" i="17"/>
  <c r="B17" i="11" l="1"/>
  <c r="A18" i="11"/>
  <c r="AB29" i="17"/>
  <c r="O29" i="17"/>
  <c r="N28" i="17"/>
  <c r="L30" i="17"/>
  <c r="K29" i="17"/>
  <c r="B16" i="11" l="1"/>
  <c r="A17" i="11"/>
  <c r="AB30" i="17"/>
  <c r="L31" i="17"/>
  <c r="K30" i="17"/>
  <c r="N29" i="17"/>
  <c r="O30" i="17"/>
  <c r="B15" i="11" l="1"/>
  <c r="A16" i="11"/>
  <c r="AB31" i="17"/>
  <c r="O31" i="17"/>
  <c r="N30" i="17"/>
  <c r="L32" i="17"/>
  <c r="K31" i="17"/>
  <c r="A15" i="11" l="1"/>
  <c r="B14" i="11"/>
  <c r="AB32" i="17"/>
  <c r="O32" i="17"/>
  <c r="N31" i="17"/>
  <c r="L33" i="17"/>
  <c r="K32" i="17"/>
  <c r="B13" i="11" l="1"/>
  <c r="A14" i="11"/>
  <c r="AB33" i="17"/>
  <c r="K33" i="17"/>
  <c r="L34" i="17"/>
  <c r="AA32" i="17" s="1"/>
  <c r="O33" i="17"/>
  <c r="N32" i="17"/>
  <c r="B12" i="11" l="1"/>
  <c r="A13" i="11"/>
  <c r="AA28" i="17"/>
  <c r="AA29" i="17"/>
  <c r="M4" i="17"/>
  <c r="AA34" i="17"/>
  <c r="AB34" i="17"/>
  <c r="AA35" i="17"/>
  <c r="AA5" i="17"/>
  <c r="AA4" i="17"/>
  <c r="AA6" i="17"/>
  <c r="AA7" i="17"/>
  <c r="AA8" i="17"/>
  <c r="AA9" i="17"/>
  <c r="AA10" i="17"/>
  <c r="AA13" i="17"/>
  <c r="AA11" i="17"/>
  <c r="AA12" i="17"/>
  <c r="AA15" i="17"/>
  <c r="AA14" i="17"/>
  <c r="AA16" i="17"/>
  <c r="AA20" i="17"/>
  <c r="AA17" i="17"/>
  <c r="AA19" i="17"/>
  <c r="AA18" i="17"/>
  <c r="AA21" i="17"/>
  <c r="AA22" i="17"/>
  <c r="AA23" i="17"/>
  <c r="AA24" i="17"/>
  <c r="AA27" i="17"/>
  <c r="AA26" i="17"/>
  <c r="AA25" i="17"/>
  <c r="AA30" i="17"/>
  <c r="AA31" i="17"/>
  <c r="AA33" i="17"/>
  <c r="K34" i="17"/>
  <c r="M5" i="17"/>
  <c r="M6" i="17" s="1"/>
  <c r="M7" i="17" s="1"/>
  <c r="M8" i="17" s="1"/>
  <c r="M9" i="17" s="1"/>
  <c r="M10" i="17" s="1"/>
  <c r="O34" i="17"/>
  <c r="Y31" i="17" s="1"/>
  <c r="Z31" i="17" s="1"/>
  <c r="N33" i="17"/>
  <c r="B11" i="11" l="1"/>
  <c r="A12" i="11"/>
  <c r="Y30" i="17"/>
  <c r="Z30" i="17" s="1"/>
  <c r="Y33" i="17"/>
  <c r="Z33" i="17" s="1"/>
  <c r="Y34" i="17"/>
  <c r="Z34" i="17"/>
  <c r="Y4" i="17"/>
  <c r="Z4" i="17" s="1"/>
  <c r="Y6" i="17"/>
  <c r="Z6" i="17" s="1"/>
  <c r="Y35" i="17"/>
  <c r="Z35" i="17" s="1"/>
  <c r="Y5" i="17"/>
  <c r="Z5" i="17" s="1"/>
  <c r="Y8" i="17"/>
  <c r="Z8" i="17" s="1"/>
  <c r="Y7" i="17"/>
  <c r="Z7" i="17" s="1"/>
  <c r="Y9" i="17"/>
  <c r="Z9" i="17" s="1"/>
  <c r="Y10" i="17"/>
  <c r="Z10" i="17" s="1"/>
  <c r="Y11" i="17"/>
  <c r="Z11" i="17" s="1"/>
  <c r="Y12" i="17"/>
  <c r="Z12" i="17" s="1"/>
  <c r="Y13" i="17"/>
  <c r="Z13" i="17" s="1"/>
  <c r="Y14" i="17"/>
  <c r="Z14" i="17" s="1"/>
  <c r="Y15" i="17"/>
  <c r="Z15" i="17" s="1"/>
  <c r="Y16" i="17"/>
  <c r="Z16" i="17" s="1"/>
  <c r="Y17" i="17"/>
  <c r="Z17" i="17" s="1"/>
  <c r="Y18" i="17"/>
  <c r="Z18" i="17" s="1"/>
  <c r="Y20" i="17"/>
  <c r="Z20" i="17" s="1"/>
  <c r="Y19" i="17"/>
  <c r="Z19" i="17" s="1"/>
  <c r="Y21" i="17"/>
  <c r="Z21" i="17" s="1"/>
  <c r="Y23" i="17"/>
  <c r="Z23" i="17" s="1"/>
  <c r="Y22" i="17"/>
  <c r="Z22" i="17" s="1"/>
  <c r="Y25" i="17"/>
  <c r="Z25" i="17" s="1"/>
  <c r="Y24" i="17"/>
  <c r="Z24" i="17" s="1"/>
  <c r="Y26" i="17"/>
  <c r="Z26" i="17" s="1"/>
  <c r="Y27" i="17"/>
  <c r="Z27" i="17" s="1"/>
  <c r="Y32" i="17"/>
  <c r="Z32" i="17" s="1"/>
  <c r="Y28" i="17"/>
  <c r="Z28" i="17" s="1"/>
  <c r="Y29" i="17"/>
  <c r="Z29" i="17" s="1"/>
  <c r="M11" i="17"/>
  <c r="M12" i="17" s="1"/>
  <c r="M13" i="17" s="1"/>
  <c r="M14" i="17" s="1"/>
  <c r="M15" i="17" s="1"/>
  <c r="M16" i="17" s="1"/>
  <c r="M17" i="17" s="1"/>
  <c r="M18" i="17" s="1"/>
  <c r="M19" i="17" s="1"/>
  <c r="M20" i="17" s="1"/>
  <c r="M21" i="17" s="1"/>
  <c r="M22" i="17" s="1"/>
  <c r="M23" i="17" s="1"/>
  <c r="M24" i="17" s="1"/>
  <c r="M25" i="17" s="1"/>
  <c r="M26" i="17" s="1"/>
  <c r="M27" i="17" s="1"/>
  <c r="M28" i="17" s="1"/>
  <c r="M29" i="17" s="1"/>
  <c r="M30" i="17" s="1"/>
  <c r="M31" i="17" s="1"/>
  <c r="M32" i="17" s="1"/>
  <c r="M33" i="17" s="1"/>
  <c r="M34" i="17" s="1"/>
  <c r="N34" i="17"/>
  <c r="P4" i="17"/>
  <c r="P5" i="17" s="1"/>
  <c r="P6" i="17" s="1"/>
  <c r="P7" i="17" s="1"/>
  <c r="P8" i="17" s="1"/>
  <c r="P9" i="17" s="1"/>
  <c r="P10" i="17" s="1"/>
  <c r="P11" i="17" s="1"/>
  <c r="P12" i="17" s="1"/>
  <c r="P13" i="17" s="1"/>
  <c r="P14" i="17" s="1"/>
  <c r="P15" i="17" s="1"/>
  <c r="P16" i="17" s="1"/>
  <c r="P17" i="17" s="1"/>
  <c r="P18" i="17" s="1"/>
  <c r="P19" i="17" s="1"/>
  <c r="P20" i="17" s="1"/>
  <c r="P21" i="17" s="1"/>
  <c r="P22" i="17" s="1"/>
  <c r="P23" i="17" s="1"/>
  <c r="P24" i="17" s="1"/>
  <c r="P25" i="17" s="1"/>
  <c r="P26" i="17" s="1"/>
  <c r="P27" i="17" s="1"/>
  <c r="P28" i="17" s="1"/>
  <c r="P29" i="17" s="1"/>
  <c r="P30" i="17" s="1"/>
  <c r="P31" i="17" s="1"/>
  <c r="P32" i="17" s="1"/>
  <c r="P33" i="17" s="1"/>
  <c r="P34" i="17" s="1"/>
  <c r="E104" i="17"/>
  <c r="D100" i="17"/>
  <c r="H100" i="17" s="1"/>
  <c r="D105" i="17"/>
  <c r="H105" i="17" s="1"/>
  <c r="E108" i="17"/>
  <c r="D97" i="17"/>
  <c r="H97" i="17" s="1"/>
  <c r="D102" i="17"/>
  <c r="H102" i="17" s="1"/>
  <c r="E109" i="17"/>
  <c r="D103" i="17"/>
  <c r="H103" i="17" s="1"/>
  <c r="D95" i="17"/>
  <c r="H95" i="17" s="1"/>
  <c r="D109" i="17"/>
  <c r="H109" i="17" s="1"/>
  <c r="D108" i="17"/>
  <c r="H108" i="17" s="1"/>
  <c r="E107" i="17"/>
  <c r="E99" i="17"/>
  <c r="E97" i="17"/>
  <c r="E96" i="17"/>
  <c r="C103" i="17"/>
  <c r="G103" i="17" s="1"/>
  <c r="D101" i="17"/>
  <c r="H101" i="17" s="1"/>
  <c r="E100" i="17"/>
  <c r="D99" i="17"/>
  <c r="H99" i="17" s="1"/>
  <c r="E98" i="17"/>
  <c r="D104" i="17"/>
  <c r="H104" i="17" s="1"/>
  <c r="D96" i="17"/>
  <c r="H96" i="17" s="1"/>
  <c r="D98" i="17"/>
  <c r="H98" i="17" s="1"/>
  <c r="E105" i="17"/>
  <c r="E106" i="17"/>
  <c r="E95" i="17"/>
  <c r="E101" i="17"/>
  <c r="E103" i="17"/>
  <c r="D107" i="17"/>
  <c r="H107" i="17" s="1"/>
  <c r="E102" i="17"/>
  <c r="D106" i="17"/>
  <c r="H106" i="17" s="1"/>
  <c r="C106" i="17"/>
  <c r="G106" i="17" s="1"/>
  <c r="C98" i="17"/>
  <c r="G98" i="17" s="1"/>
  <c r="C108" i="17"/>
  <c r="G108" i="17" s="1"/>
  <c r="C105" i="17"/>
  <c r="G105" i="17" s="1"/>
  <c r="C94" i="17"/>
  <c r="G94" i="17" s="1"/>
  <c r="C107" i="17"/>
  <c r="G107" i="17" s="1"/>
  <c r="C95" i="17"/>
  <c r="G95" i="17" s="1"/>
  <c r="C109" i="17"/>
  <c r="G109" i="17" s="1"/>
  <c r="C97" i="17"/>
  <c r="G97" i="17" s="1"/>
  <c r="C104" i="17"/>
  <c r="G104" i="17" s="1"/>
  <c r="C99" i="17"/>
  <c r="G99" i="17" s="1"/>
  <c r="D94" i="17"/>
  <c r="H94" i="17" s="1"/>
  <c r="C96" i="17"/>
  <c r="G96" i="17" s="1"/>
  <c r="C101" i="17"/>
  <c r="G101" i="17" s="1"/>
  <c r="C100" i="17"/>
  <c r="G100" i="17" s="1"/>
  <c r="E94" i="17"/>
  <c r="C102" i="17"/>
  <c r="G102" i="17" s="1"/>
  <c r="B10" i="11" l="1"/>
  <c r="A11" i="11"/>
  <c r="D110" i="17"/>
  <c r="E110" i="17"/>
  <c r="Q95" i="17"/>
  <c r="V95" i="17" s="1"/>
  <c r="C110" i="17"/>
  <c r="M95" i="17"/>
  <c r="B9" i="11" l="1"/>
  <c r="A9" i="11" s="1"/>
  <c r="A10" i="11"/>
  <c r="O95" i="17"/>
  <c r="T95" i="17" s="1"/>
  <c r="A24" i="18" s="1"/>
  <c r="C24" i="18"/>
  <c r="D24" i="18" s="1"/>
  <c r="P95" i="17"/>
  <c r="Q96" i="17"/>
  <c r="V96" i="17" s="1"/>
  <c r="K95" i="17"/>
  <c r="L95" i="17"/>
  <c r="M96" i="17"/>
  <c r="U95" i="17" l="1"/>
  <c r="B24" i="18" s="1"/>
  <c r="Q97" i="17"/>
  <c r="C25" i="18"/>
  <c r="D25" i="18" s="1"/>
  <c r="P96" i="17"/>
  <c r="O96" i="17"/>
  <c r="T96" i="17" s="1"/>
  <c r="A25" i="18" s="1"/>
  <c r="L96" i="17"/>
  <c r="K96" i="17"/>
  <c r="M97" i="17"/>
  <c r="V97" i="17" l="1"/>
  <c r="C26" i="18" s="1"/>
  <c r="D26" i="18" s="1"/>
  <c r="U96" i="17"/>
  <c r="B25" i="18" s="1"/>
  <c r="P97" i="17"/>
  <c r="O97" i="17"/>
  <c r="T97" i="17" s="1"/>
  <c r="A26" i="18" s="1"/>
  <c r="Q98" i="17"/>
  <c r="M98" i="17"/>
  <c r="K97" i="17"/>
  <c r="L97" i="17"/>
  <c r="V98" i="17" l="1"/>
  <c r="C27" i="18" s="1"/>
  <c r="D27" i="18" s="1"/>
  <c r="U97" i="17"/>
  <c r="B26" i="18" s="1"/>
  <c r="Q99" i="17"/>
  <c r="P98" i="17"/>
  <c r="O98" i="17"/>
  <c r="T98" i="17" s="1"/>
  <c r="A27" i="18" s="1"/>
  <c r="L98" i="17"/>
  <c r="M99" i="17"/>
  <c r="K98" i="17"/>
  <c r="U98" i="17" l="1"/>
  <c r="B27" i="18" s="1"/>
  <c r="V99" i="17"/>
  <c r="C28" i="18" s="1"/>
  <c r="D28" i="18" s="1"/>
  <c r="Q100" i="17"/>
  <c r="P99" i="17"/>
  <c r="O99" i="17"/>
  <c r="T99" i="17" s="1"/>
  <c r="A28" i="18" s="1"/>
  <c r="K99" i="17"/>
  <c r="L99" i="17"/>
  <c r="M100" i="17"/>
  <c r="U99" i="17" l="1"/>
  <c r="B28" i="18" s="1"/>
  <c r="V100" i="17"/>
  <c r="C29" i="18" s="1"/>
  <c r="D29" i="18" s="1"/>
  <c r="P100" i="17"/>
  <c r="O100" i="17"/>
  <c r="T100" i="17" s="1"/>
  <c r="A29" i="18" s="1"/>
  <c r="Q101" i="17"/>
  <c r="K100" i="17"/>
  <c r="L100" i="17"/>
  <c r="M101" i="17"/>
  <c r="V101" i="17" l="1"/>
  <c r="C30" i="18" s="1"/>
  <c r="D30" i="18" s="1"/>
  <c r="U100" i="17"/>
  <c r="B29" i="18" s="1"/>
  <c r="O101" i="17"/>
  <c r="T101" i="17" s="1"/>
  <c r="A30" i="18" s="1"/>
  <c r="P101" i="17"/>
  <c r="Q102" i="17"/>
  <c r="O102" i="17" s="1"/>
  <c r="L101" i="17"/>
  <c r="M102" i="17"/>
  <c r="K101" i="17"/>
  <c r="U101" i="17" l="1"/>
  <c r="B30" i="18" s="1"/>
  <c r="P102" i="17"/>
  <c r="Q103" i="17"/>
  <c r="Q104" i="17" s="1"/>
  <c r="L102" i="17"/>
  <c r="M103" i="17"/>
  <c r="K102" i="17"/>
  <c r="P103" i="17" l="1"/>
  <c r="O103" i="17"/>
  <c r="K103" i="17"/>
  <c r="L103" i="17"/>
  <c r="M104" i="17"/>
  <c r="O104" i="17"/>
  <c r="Q105" i="17"/>
  <c r="P104" i="17"/>
  <c r="O105" i="17" l="1"/>
  <c r="Q106" i="17"/>
  <c r="P105" i="17"/>
  <c r="K104" i="17"/>
  <c r="L104" i="17"/>
  <c r="M105" i="17"/>
  <c r="M106" i="17" l="1"/>
  <c r="L105" i="17"/>
  <c r="K105" i="17"/>
  <c r="P106" i="17"/>
  <c r="Q107" i="17"/>
  <c r="O106" i="17"/>
  <c r="K106" i="17" l="1"/>
  <c r="M107" i="17"/>
  <c r="L106" i="17"/>
  <c r="O107" i="17"/>
  <c r="Q108" i="17"/>
  <c r="P107" i="17"/>
  <c r="O108" i="17" l="1"/>
  <c r="P108" i="17"/>
  <c r="Q109" i="17"/>
  <c r="M108" i="17"/>
  <c r="K107" i="17"/>
  <c r="L107" i="17"/>
  <c r="P109" i="17" l="1"/>
  <c r="Q110" i="17"/>
  <c r="O109" i="17"/>
  <c r="L108" i="17"/>
  <c r="M109" i="17"/>
  <c r="K108" i="17"/>
  <c r="K109" i="17" l="1"/>
  <c r="L109" i="17"/>
  <c r="M110" i="17"/>
  <c r="O110" i="17"/>
  <c r="P110" i="17"/>
  <c r="P111" i="17" s="1"/>
  <c r="Q111" i="17"/>
  <c r="R95" i="17"/>
  <c r="R96" i="17" s="1"/>
  <c r="R97" i="17" s="1"/>
  <c r="Y97" i="17" l="1"/>
  <c r="Y95" i="17"/>
  <c r="L110" i="17"/>
  <c r="L111" i="17" s="1"/>
  <c r="K110" i="17"/>
  <c r="M111" i="17"/>
  <c r="N95" i="17"/>
  <c r="N96" i="17" s="1"/>
  <c r="N97" i="17" s="1"/>
  <c r="N98" i="17" s="1"/>
  <c r="N99" i="17" s="1"/>
  <c r="N100" i="17" s="1"/>
  <c r="N101" i="17" s="1"/>
  <c r="N102" i="17" s="1"/>
  <c r="N103" i="17" s="1"/>
  <c r="N104" i="17" s="1"/>
  <c r="N105" i="17" s="1"/>
  <c r="N106" i="17" s="1"/>
  <c r="N107" i="17" s="1"/>
  <c r="N108" i="17" s="1"/>
  <c r="N109" i="17" s="1"/>
  <c r="N110" i="17" s="1"/>
  <c r="R98" i="17"/>
  <c r="Y96" i="17"/>
  <c r="Y98" i="17" l="1"/>
  <c r="R99" i="17"/>
  <c r="Y99" i="17" l="1"/>
  <c r="R100" i="17"/>
  <c r="Y100" i="17" l="1"/>
  <c r="R101" i="17"/>
  <c r="S101" i="17" s="1"/>
  <c r="Y91" i="17" s="1"/>
  <c r="T111" i="17" l="1"/>
  <c r="Y101" i="17"/>
  <c r="R102" i="17"/>
  <c r="U102" i="17" l="1"/>
  <c r="Y102" i="17" s="1"/>
  <c r="T102" i="17"/>
  <c r="A31" i="18" s="1"/>
  <c r="V102" i="17"/>
  <c r="S102" i="17"/>
  <c r="T112" i="17"/>
  <c r="R103" i="17"/>
  <c r="S103" i="17" l="1"/>
  <c r="U103" i="17"/>
  <c r="Y103" i="17" s="1"/>
  <c r="T103" i="17"/>
  <c r="V103" i="17"/>
  <c r="T113" i="17"/>
  <c r="R104" i="17"/>
  <c r="S104" i="17" l="1"/>
  <c r="T114" i="17"/>
  <c r="U104" i="17"/>
  <c r="Y104" i="17" s="1"/>
  <c r="T104" i="17"/>
  <c r="V104" i="17"/>
  <c r="R105" i="17"/>
  <c r="V105" i="17" l="1"/>
  <c r="T105" i="17"/>
  <c r="T115" i="17"/>
  <c r="U105" i="17"/>
  <c r="Y105" i="17" s="1"/>
  <c r="S105" i="17"/>
  <c r="R106" i="17"/>
  <c r="T116" i="17" l="1"/>
  <c r="S106" i="17"/>
  <c r="U106" i="17"/>
  <c r="Y106" i="17" s="1"/>
  <c r="T106" i="17"/>
  <c r="V106" i="17"/>
  <c r="R107" i="17"/>
  <c r="T117" i="17" l="1"/>
  <c r="V107" i="17"/>
  <c r="T107" i="17"/>
  <c r="U107" i="17"/>
  <c r="Y107" i="17" s="1"/>
  <c r="S107" i="17"/>
  <c r="R108" i="17"/>
  <c r="T118" i="17" l="1"/>
  <c r="U108" i="17"/>
  <c r="Y108" i="17" s="1"/>
  <c r="S108" i="17"/>
  <c r="T108" i="17"/>
  <c r="V108" i="17"/>
  <c r="R109" i="17"/>
  <c r="T109" i="17" l="1"/>
  <c r="U109" i="17"/>
  <c r="Y109" i="17" s="1"/>
  <c r="S109" i="17"/>
  <c r="V109" i="17"/>
  <c r="T119" i="17"/>
  <c r="R110" i="17"/>
  <c r="V110" i="17" l="1"/>
  <c r="T120" i="17"/>
  <c r="T110" i="17"/>
  <c r="U110" i="17"/>
  <c r="Y110" i="17" s="1"/>
  <c r="S110" i="17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Bergerat, Juan (Los Perales)</author>
  </authors>
  <commentList>
    <comment ref="D3" authorId="0" shapeId="0" xr:uid="{00000000-0006-0000-0100-000001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10" authorId="0" shapeId="0" xr:uid="{00000000-0006-0000-0100-000002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11" authorId="0" shapeId="0" xr:uid="{00000000-0006-0000-0100-000003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12" authorId="0" shapeId="0" xr:uid="{00000000-0006-0000-0100-000004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13" authorId="0" shapeId="0" xr:uid="{00000000-0006-0000-0100-000005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14" authorId="0" shapeId="0" xr:uid="{00000000-0006-0000-0100-000006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17" authorId="0" shapeId="0" xr:uid="{00000000-0006-0000-0100-000007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Suma de CF1,2 y 3
</t>
        </r>
      </text>
    </comment>
    <comment ref="D18" authorId="0" shapeId="0" xr:uid="{00000000-0006-0000-0100-000008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Suma de CF1,2 y 3
</t>
        </r>
      </text>
    </comment>
    <comment ref="D19" authorId="0" shapeId="0" xr:uid="{00000000-0006-0000-0100-000009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Suma de CF1,2 y 3
</t>
        </r>
      </text>
    </comment>
    <comment ref="D44" authorId="0" shapeId="0" xr:uid="{00000000-0006-0000-0100-00000A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45" authorId="0" shapeId="0" xr:uid="{00000000-0006-0000-0100-00000B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46" authorId="0" shapeId="0" xr:uid="{00000000-0006-0000-0100-00000C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47" authorId="0" shapeId="0" xr:uid="{00000000-0006-0000-0100-00000D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cuarto de la suma de CF1,2 y 3
</t>
        </r>
      </text>
    </comment>
    <comment ref="D55" authorId="0" shapeId="0" xr:uid="{00000000-0006-0000-0100-00000E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50% de batería RG
</t>
        </r>
      </text>
    </comment>
    <comment ref="D56" authorId="0" shapeId="0" xr:uid="{00000000-0006-0000-0100-00000F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57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58" authorId="0" shapeId="0" xr:uid="{00000000-0006-0000-0100-000011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59" authorId="0" shapeId="0" xr:uid="{00000000-0006-0000-0100-000012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60" authorId="0" shapeId="0" xr:uid="{00000000-0006-0000-0100-000013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61" authorId="0" shapeId="0" xr:uid="{00000000-0006-0000-0100-000014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62" authorId="0" shapeId="0" xr:uid="{00000000-0006-0000-0100-000015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63" authorId="0" shapeId="0" xr:uid="{00000000-0006-0000-0100-000016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64" authorId="0" shapeId="0" xr:uid="{00000000-0006-0000-0100-000017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67" authorId="0" shapeId="0" xr:uid="{00000000-0006-0000-0100-000018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68" authorId="0" shapeId="0" xr:uid="{00000000-0006-0000-0100-000019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cuarto de batería MD</t>
        </r>
      </text>
    </comment>
    <comment ref="D72" authorId="0" shapeId="0" xr:uid="{00000000-0006-0000-0100-00001A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tercio de la suma de LCA1, 2 y 4</t>
        </r>
      </text>
    </comment>
    <comment ref="D73" authorId="0" shapeId="0" xr:uid="{00000000-0006-0000-0100-00001B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tercio de la suma de LCA1, 2 y 4</t>
        </r>
      </text>
    </comment>
    <comment ref="D74" authorId="0" shapeId="0" xr:uid="{00000000-0006-0000-0100-00001C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tercio de la suma de LCA1, 2 y 4</t>
        </r>
      </text>
    </comment>
    <comment ref="D75" authorId="0" shapeId="0" xr:uid="{00000000-0006-0000-0100-00001D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tercio de la suma de LCA1, 2 y 4</t>
        </r>
      </text>
    </comment>
    <comment ref="D76" authorId="0" shapeId="0" xr:uid="{00000000-0006-0000-0100-00001E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Suma de LCA1, 2 y 4</t>
        </r>
      </text>
    </comment>
    <comment ref="D77" authorId="0" shapeId="0" xr:uid="{00000000-0006-0000-0100-00001F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Suma de LCA1, 2 y 4</t>
        </r>
      </text>
    </comment>
    <comment ref="D78" authorId="0" shapeId="0" xr:uid="{00000000-0006-0000-0100-000020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Suma de LCA1, 2 y 4</t>
        </r>
      </text>
    </comment>
    <comment ref="D79" authorId="0" shapeId="0" xr:uid="{00000000-0006-0000-0100-000021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Suma de LCA1, 2 y 4</t>
        </r>
      </text>
    </comment>
    <comment ref="D80" authorId="0" shapeId="0" xr:uid="{00000000-0006-0000-0100-000022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Suma de LCA1, 2 y 4</t>
        </r>
      </text>
    </comment>
    <comment ref="D85" authorId="0" shapeId="0" xr:uid="{00000000-0006-0000-0100-000023000000}">
      <text>
        <r>
          <rPr>
            <b/>
            <sz val="9"/>
            <color indexed="81"/>
            <rFont val="Tahoma"/>
            <charset val="1"/>
          </rPr>
          <t>Bergerat, Juan (Los Perales):</t>
        </r>
        <r>
          <rPr>
            <sz val="9"/>
            <color indexed="81"/>
            <rFont val="Tahoma"/>
            <charset val="1"/>
          </rPr>
          <t xml:space="preserve">
Un tercio de la suma de LCA1, 2 y 4</t>
        </r>
      </text>
    </comment>
    <comment ref="D88" authorId="0" shapeId="0" xr:uid="{00000000-0006-0000-0100-000024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batería PP
</t>
        </r>
      </text>
    </comment>
    <comment ref="D89" authorId="0" shapeId="0" xr:uid="{00000000-0006-0000-0100-000025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batería PP
</t>
        </r>
      </text>
    </comment>
    <comment ref="D93" authorId="0" shapeId="0" xr:uid="{00000000-0006-0000-0100-000026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batería PP
</t>
        </r>
      </text>
    </comment>
    <comment ref="D94" authorId="0" shapeId="0" xr:uid="{00000000-0006-0000-0100-000027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batería PP
</t>
        </r>
      </text>
    </comment>
    <comment ref="D106" authorId="0" shapeId="0" xr:uid="{00000000-0006-0000-0100-000028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suma de LAS1 y LAS23</t>
        </r>
      </text>
    </comment>
    <comment ref="D107" authorId="0" shapeId="0" xr:uid="{00000000-0006-0000-0100-000029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suma de LAS1 y LAS23</t>
        </r>
      </text>
    </comment>
    <comment ref="D108" authorId="0" shapeId="0" xr:uid="{00000000-0006-0000-0100-00002A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suma de LAS1 y LAS23</t>
        </r>
      </text>
    </comment>
    <comment ref="D109" authorId="0" shapeId="0" xr:uid="{00000000-0006-0000-0100-00002B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
suma de LAS1 y LAS23</t>
        </r>
      </text>
    </comment>
    <comment ref="D110" authorId="0" shapeId="0" xr:uid="{00000000-0006-0000-0100-00002C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
suma de LAS1 y LAS23</t>
        </r>
      </text>
    </comment>
    <comment ref="D111" authorId="0" shapeId="0" xr:uid="{00000000-0006-0000-0100-00002D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
suma de LAS1 y LAS23</t>
        </r>
      </text>
    </comment>
    <comment ref="D112" authorId="0" shapeId="0" xr:uid="{00000000-0006-0000-0100-00002E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
suma de LAS1 y LAS23</t>
        </r>
      </text>
    </comment>
    <comment ref="D113" authorId="0" shapeId="0" xr:uid="{00000000-0006-0000-0100-00002F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
suma de LAS1 y LAS23</t>
        </r>
      </text>
    </comment>
    <comment ref="D114" authorId="0" shapeId="0" xr:uid="{00000000-0006-0000-0100-000030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suma de LAS1 y LAS23</t>
        </r>
      </text>
    </comment>
    <comment ref="D115" authorId="0" shapeId="0" xr:uid="{00000000-0006-0000-0100-000031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suma de LAS1 y LAS23</t>
        </r>
      </text>
    </comment>
    <comment ref="D116" authorId="0" shapeId="0" xr:uid="{00000000-0006-0000-0100-000032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suma de LAS1 y LAS23</t>
        </r>
      </text>
    </comment>
    <comment ref="D117" authorId="0" shapeId="0" xr:uid="{00000000-0006-0000-0100-000033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suma de LAS1 y LAS23</t>
        </r>
      </text>
    </comment>
    <comment ref="D118" authorId="0" shapeId="0" xr:uid="{00000000-0006-0000-0100-000034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suma de LAS1 y LAS23</t>
        </r>
      </text>
    </comment>
    <comment ref="D153" authorId="0" shapeId="0" xr:uid="{00000000-0006-0000-0100-000035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Batería LDM
</t>
        </r>
      </text>
    </comment>
    <comment ref="D154" authorId="0" shapeId="0" xr:uid="{00000000-0006-0000-0100-000036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Batería LDM
</t>
        </r>
      </text>
    </comment>
    <comment ref="D155" authorId="0" shapeId="0" xr:uid="{00000000-0006-0000-0100-000037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Un tercio de Batería LDM
</t>
        </r>
      </text>
    </comment>
    <comment ref="D169" authorId="0" shapeId="0" xr:uid="{00000000-0006-0000-0100-000038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No está en controles. Se asume NCF137
</t>
        </r>
      </text>
    </comment>
    <comment ref="D199" authorId="0" shapeId="0" xr:uid="{00000000-0006-0000-0100-000039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No está en controles. Se asume NCF15</t>
        </r>
      </text>
    </comment>
    <comment ref="D205" authorId="0" shapeId="0" xr:uid="{00000000-0006-0000-0100-00003A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No está en CTRL. Se toma NCF88</t>
        </r>
      </text>
    </comment>
    <comment ref="D233" authorId="0" shapeId="0" xr:uid="{00000000-0006-0000-0100-00003B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No está en controles. Se asume RG.a-35</t>
        </r>
      </text>
    </comment>
    <comment ref="D239" authorId="0" shapeId="0" xr:uid="{00000000-0006-0000-0100-00003C000000}">
      <text>
        <r>
          <rPr>
            <b/>
            <sz val="9"/>
            <color indexed="81"/>
            <rFont val="Tahoma"/>
            <family val="2"/>
          </rPr>
          <t>Bergerat, Juan (Los Perales):</t>
        </r>
        <r>
          <rPr>
            <sz val="9"/>
            <color indexed="81"/>
            <rFont val="Tahoma"/>
            <family val="2"/>
          </rPr>
          <t xml:space="preserve">
NMDM59 no está en controles, asume control de pozo NMDM58
</t>
        </r>
      </text>
    </comment>
  </commentList>
</comments>
</file>

<file path=xl/sharedStrings.xml><?xml version="1.0" encoding="utf-8"?>
<sst xmlns="http://schemas.openxmlformats.org/spreadsheetml/2006/main" count="6980" uniqueCount="1388">
  <si>
    <t>Zona</t>
  </si>
  <si>
    <t>Nombre</t>
  </si>
  <si>
    <t>Producto 
Quimico</t>
  </si>
  <si>
    <t>Tipo 
Quimico</t>
  </si>
  <si>
    <t>Lugar
Inyección</t>
  </si>
  <si>
    <t>Método
 Aplicación</t>
  </si>
  <si>
    <t>COLECTORA 75</t>
  </si>
  <si>
    <t>COLECTORA</t>
  </si>
  <si>
    <t>BATERIA 1</t>
  </si>
  <si>
    <t>DVE4B003</t>
  </si>
  <si>
    <t>BACTERICIDA</t>
  </si>
  <si>
    <t>OLEODUCTO</t>
  </si>
  <si>
    <t>INHIBIDOR DE INCRUSTACIONES</t>
  </si>
  <si>
    <t>DESEMULSIONANTE</t>
  </si>
  <si>
    <t>INHIBIDOR DE PARAFINAS Y ASFALTENOS</t>
  </si>
  <si>
    <t>INGRESO CALDERIN</t>
  </si>
  <si>
    <t>EC3156</t>
  </si>
  <si>
    <t>ANTIESPUMANTE</t>
  </si>
  <si>
    <t>CORTRON RN470</t>
  </si>
  <si>
    <t>INHIBIDOR DE CORROSIÓN</t>
  </si>
  <si>
    <t>COLECTORA 87</t>
  </si>
  <si>
    <t>COLECTORA 67</t>
  </si>
  <si>
    <t>COLECTORA 12</t>
  </si>
  <si>
    <t>COLECTORA 143</t>
  </si>
  <si>
    <t>BATERIA 2</t>
  </si>
  <si>
    <t>TK 1000</t>
  </si>
  <si>
    <t>INGRESO TK</t>
  </si>
  <si>
    <t>TK F2</t>
  </si>
  <si>
    <t>TX14120</t>
  </si>
  <si>
    <t>HUMECTANTE DE SOLIDOS</t>
  </si>
  <si>
    <t>BATCH</t>
  </si>
  <si>
    <t>BATERIA 3</t>
  </si>
  <si>
    <t>SALIDA CALDERIN</t>
  </si>
  <si>
    <t>INGRESO SEP J</t>
  </si>
  <si>
    <t>NCF-0071</t>
  </si>
  <si>
    <t>LINEA DE CONDUCCIÓN</t>
  </si>
  <si>
    <t>LATERAL DE POZO</t>
  </si>
  <si>
    <t>CALDERIN 115</t>
  </si>
  <si>
    <t>CALDERIN 101</t>
  </si>
  <si>
    <t>RANQUIL-CO</t>
  </si>
  <si>
    <t>PTO VAZQUEZ</t>
  </si>
  <si>
    <t>BATERIA</t>
  </si>
  <si>
    <t>COLECTORA 28</t>
  </si>
  <si>
    <t>EMPALME</t>
  </si>
  <si>
    <t>RUPTOR</t>
  </si>
  <si>
    <t>COLECTORA 4 GRAL</t>
  </si>
  <si>
    <t>DISOLVENTE DE PARAFINAS Y ASFALTENOS</t>
  </si>
  <si>
    <t>COLECTORA 4 CTROL</t>
  </si>
  <si>
    <t>NMDM-0072</t>
  </si>
  <si>
    <t>COLECTORA NORTE</t>
  </si>
  <si>
    <t>COLECTOR CTRAL</t>
  </si>
  <si>
    <t>PILETA API</t>
  </si>
  <si>
    <t>BOMBEO API</t>
  </si>
  <si>
    <t>BOMBEO</t>
  </si>
  <si>
    <t>COLECTORA CTRAL BAT1</t>
  </si>
  <si>
    <t>REBALSE TK F2</t>
  </si>
  <si>
    <t>TK AGUA DULCE</t>
  </si>
  <si>
    <t>CORTRON RU312</t>
  </si>
  <si>
    <t>SECUESTRANTE DE OXIGENO</t>
  </si>
  <si>
    <t>COLECTORA 3</t>
  </si>
  <si>
    <t>NLCa-0138</t>
  </si>
  <si>
    <t>COLECTORA CTRAL</t>
  </si>
  <si>
    <t>COLECTORA 19</t>
  </si>
  <si>
    <t>COLECTORA SUR</t>
  </si>
  <si>
    <t>NPP-0046</t>
  </si>
  <si>
    <t>NPP-0030</t>
  </si>
  <si>
    <t>NPP-0006</t>
  </si>
  <si>
    <t>FW</t>
  </si>
  <si>
    <t>COLECTORA 23</t>
  </si>
  <si>
    <t>COLECTORA 53 CTROL</t>
  </si>
  <si>
    <t>COLECTORA 53 GRAL</t>
  </si>
  <si>
    <t>TK C001</t>
  </si>
  <si>
    <t>PTC CD TET</t>
  </si>
  <si>
    <t>INGRESO TET</t>
  </si>
  <si>
    <t>PTC CD FW</t>
  </si>
  <si>
    <t>INGRESO FW</t>
  </si>
  <si>
    <t>PTC CD DECANTER</t>
  </si>
  <si>
    <t>CORE SHELL</t>
  </si>
  <si>
    <t>FLOCULANTE</t>
  </si>
  <si>
    <t>INGRESO DECANTER</t>
  </si>
  <si>
    <t>SECUESTRANTE DE SULFHÍDRICO</t>
  </si>
  <si>
    <t>BATERIA 4</t>
  </si>
  <si>
    <t>BATERIA 7</t>
  </si>
  <si>
    <t>COLECTORA 29</t>
  </si>
  <si>
    <t>CALDERIN 3</t>
  </si>
  <si>
    <t>ENTRADA CALDERIN</t>
  </si>
  <si>
    <t>SEMANAL</t>
  </si>
  <si>
    <t>QUINCENAL</t>
  </si>
  <si>
    <t>CORTRON 2533</t>
  </si>
  <si>
    <t>NPP-0026</t>
  </si>
  <si>
    <t>FONDO DE POZO</t>
  </si>
  <si>
    <t>CAPTRON 75</t>
  </si>
  <si>
    <t>CAPTRON 75/ENCAPTRON 95</t>
  </si>
  <si>
    <t>ENCAPTRON 95</t>
  </si>
  <si>
    <t>NCF-0056</t>
  </si>
  <si>
    <t>NMDM-56</t>
  </si>
  <si>
    <t>SURFATRON DN-155</t>
  </si>
  <si>
    <t>GYPTRON TA-416</t>
  </si>
  <si>
    <t>BACTRON L-133</t>
  </si>
  <si>
    <t>CLEAR 2335</t>
  </si>
  <si>
    <t>EMBR14512A</t>
  </si>
  <si>
    <t>EMBR17949A</t>
  </si>
  <si>
    <t>GAS TREAT 200</t>
  </si>
  <si>
    <t>REDUCTOR DE FRICCIÓN</t>
  </si>
  <si>
    <t>NLL-2001h</t>
  </si>
  <si>
    <t xml:space="preserve">PTC CD </t>
  </si>
  <si>
    <t>INGRESO GENERAL</t>
  </si>
  <si>
    <t>OLEODUCTO LDM-ES</t>
  </si>
  <si>
    <t>NRG-0027</t>
  </si>
  <si>
    <t>ENCAPSULADO</t>
  </si>
  <si>
    <t>03VC057</t>
  </si>
  <si>
    <t>CLARIFICANTE</t>
  </si>
  <si>
    <t>INGRESO SKIMMER</t>
  </si>
  <si>
    <t>INGRESO WEMCO</t>
  </si>
  <si>
    <t>Frecuencia</t>
  </si>
  <si>
    <t>BOMBEO CF-MDM</t>
  </si>
  <si>
    <t>BOMBEO MDM-CD</t>
  </si>
  <si>
    <t>CONTROL</t>
  </si>
  <si>
    <t>INGRESO PTA LAS</t>
  </si>
  <si>
    <t>SALIDA FWKO PTA LAS</t>
  </si>
  <si>
    <t>SALIDA FWKO</t>
  </si>
  <si>
    <t>INGRESO FWKO</t>
  </si>
  <si>
    <t>FWKO</t>
  </si>
  <si>
    <t>EMULSOTRON x-8131</t>
  </si>
  <si>
    <t>EMULSOTRON x-8134</t>
  </si>
  <si>
    <t>NCF-0105</t>
  </si>
  <si>
    <t>NLCA-0047</t>
  </si>
  <si>
    <t>EC6036A</t>
  </si>
  <si>
    <t>INGRESO SUF</t>
  </si>
  <si>
    <t>EC2434A</t>
  </si>
  <si>
    <t>EC6019A</t>
  </si>
  <si>
    <t>EC6359A</t>
  </si>
  <si>
    <t>EC6539A</t>
  </si>
  <si>
    <t>EMBR12601A</t>
  </si>
  <si>
    <t>LA3147A</t>
  </si>
  <si>
    <t>INGRESO UFS</t>
  </si>
  <si>
    <t>EMULSOTRON x-8135</t>
  </si>
  <si>
    <t>NCF-0069</t>
  </si>
  <si>
    <t>NMDM-59</t>
  </si>
  <si>
    <t>BATERIA 6</t>
  </si>
  <si>
    <t>NCF-0081</t>
  </si>
  <si>
    <t>NCF-0050</t>
  </si>
  <si>
    <t>CLEAR 2336</t>
  </si>
  <si>
    <t>CAPTRON 75/ENCAPTRON 96</t>
  </si>
  <si>
    <t>NLCA-0088</t>
  </si>
  <si>
    <t>NPP-0024</t>
  </si>
  <si>
    <t>NCF-0113</t>
  </si>
  <si>
    <t>NCF-0088</t>
  </si>
  <si>
    <t>NLCA-0075</t>
  </si>
  <si>
    <t>NLCA-0142</t>
  </si>
  <si>
    <t>NLL-1007</t>
  </si>
  <si>
    <t>EC6620</t>
  </si>
  <si>
    <t>REDUCTOR DE VISCOSIDAD</t>
  </si>
  <si>
    <t>NLCA-0056</t>
  </si>
  <si>
    <t>NLCA-0085</t>
  </si>
  <si>
    <t>NLCA-0138</t>
  </si>
  <si>
    <t>INHIBIDOR DE INCRUSTACIÓN/CORROSIÓN</t>
  </si>
  <si>
    <t>CERRO DIVISADERO</t>
  </si>
  <si>
    <t>CERRO FORTUNOSO</t>
  </si>
  <si>
    <t>LOMA ALTA</t>
  </si>
  <si>
    <t>LOMA ALTA SUR</t>
  </si>
  <si>
    <t>LOS CAVAOS</t>
  </si>
  <si>
    <t>LOMA DE LA MINA</t>
  </si>
  <si>
    <t>LLANCANELO</t>
  </si>
  <si>
    <t>LOS VOLCANES</t>
  </si>
  <si>
    <t>MALAL DEL MEDIO</t>
  </si>
  <si>
    <t>MALAL DEL MEDIO OESTE</t>
  </si>
  <si>
    <t>MIRADOR DEL VALLE</t>
  </si>
  <si>
    <t>PAMPA PALAUCO</t>
  </si>
  <si>
    <t>RIO GRANDE</t>
  </si>
  <si>
    <t>LAS VARILLAS</t>
  </si>
  <si>
    <t>Anular</t>
  </si>
  <si>
    <t>CONTINUA</t>
  </si>
  <si>
    <t>Consumo estimado [lpmes]</t>
  </si>
  <si>
    <t>Precio unitario [USD/l]</t>
  </si>
  <si>
    <t>Nombre Oficial Pozo</t>
  </si>
  <si>
    <t>Nombre Corto Pozo</t>
  </si>
  <si>
    <t>Met Prod</t>
  </si>
  <si>
    <t>Nivel 1</t>
  </si>
  <si>
    <t>Nivel 2</t>
  </si>
  <si>
    <t>Nivel 4</t>
  </si>
  <si>
    <t>Nivel 5</t>
  </si>
  <si>
    <t>Nivel 3</t>
  </si>
  <si>
    <t>Estado</t>
  </si>
  <si>
    <t>Nombre Batería</t>
  </si>
  <si>
    <t>Gas</t>
  </si>
  <si>
    <t>Fecha Efectiva</t>
  </si>
  <si>
    <t>Agua</t>
  </si>
  <si>
    <t>Petroleo</t>
  </si>
  <si>
    <t>YPF.Md.NCD.e-3</t>
  </si>
  <si>
    <t>NCD-0003</t>
  </si>
  <si>
    <t>Bombeo Mecánico</t>
  </si>
  <si>
    <t>NORTE</t>
  </si>
  <si>
    <t>OPERACIONES MENDOZA NORTE</t>
  </si>
  <si>
    <t>MGS Zona II</t>
  </si>
  <si>
    <t>CD</t>
  </si>
  <si>
    <t>Malargue</t>
  </si>
  <si>
    <t>Produciendo</t>
  </si>
  <si>
    <t>BATERIA CD 1</t>
  </si>
  <si>
    <t>YPF.Md.NCF-7</t>
  </si>
  <si>
    <t>NCF-0007</t>
  </si>
  <si>
    <t>MGS Zona I</t>
  </si>
  <si>
    <t>CF- 01</t>
  </si>
  <si>
    <t>CF2</t>
  </si>
  <si>
    <t>YPF.Md.NCF.a-8</t>
  </si>
  <si>
    <t>NCF-0008</t>
  </si>
  <si>
    <t>CF1</t>
  </si>
  <si>
    <t>YPF.Md.NCF-11</t>
  </si>
  <si>
    <t>NCF-0011</t>
  </si>
  <si>
    <t>YPF.Md.NCF-12</t>
  </si>
  <si>
    <t>NCF-0012</t>
  </si>
  <si>
    <t>Inyección</t>
  </si>
  <si>
    <t>CF- 02</t>
  </si>
  <si>
    <t>SECUNDARIA C.FORTUNOSO</t>
  </si>
  <si>
    <t>YPF.Md.NCF-13</t>
  </si>
  <si>
    <t>NCF-0013</t>
  </si>
  <si>
    <t>YPF.Md.NCF.a-15</t>
  </si>
  <si>
    <t>NCF-15</t>
  </si>
  <si>
    <t>YPF.Md.NCF-16</t>
  </si>
  <si>
    <t>NCF-0016</t>
  </si>
  <si>
    <t>YPF.Md.NCF-17(I)</t>
  </si>
  <si>
    <t>NCF-0017(I)</t>
  </si>
  <si>
    <t>YPF.Md.NCF-18</t>
  </si>
  <si>
    <t>NCF-0018</t>
  </si>
  <si>
    <t>YPF.Md.NCF-19</t>
  </si>
  <si>
    <t>NCF-19[00]</t>
  </si>
  <si>
    <t>YPF.Md.NCF-21</t>
  </si>
  <si>
    <t>NCF-0021</t>
  </si>
  <si>
    <t>YPF.Md.NCF-22</t>
  </si>
  <si>
    <t>NCF-0022</t>
  </si>
  <si>
    <t>YPF.Md.NCF-23</t>
  </si>
  <si>
    <t>NCF-0023</t>
  </si>
  <si>
    <t>Cavidad Progresiva</t>
  </si>
  <si>
    <t>CF- 03</t>
  </si>
  <si>
    <t>CF3</t>
  </si>
  <si>
    <t>YPF.Md.NCF-24</t>
  </si>
  <si>
    <t>NCF-0024</t>
  </si>
  <si>
    <t>YPF.Md.NCF-26</t>
  </si>
  <si>
    <t>NCF-0026</t>
  </si>
  <si>
    <t>YPF.Md.NCF-27</t>
  </si>
  <si>
    <t>NCF-0027</t>
  </si>
  <si>
    <t>YPF.Md.NCF-28</t>
  </si>
  <si>
    <t>NCF-0028</t>
  </si>
  <si>
    <t>YPF.Md.NCF.a-29</t>
  </si>
  <si>
    <t>NCF-29</t>
  </si>
  <si>
    <t>YPF.Md.NCF-30</t>
  </si>
  <si>
    <t>NCF-0030</t>
  </si>
  <si>
    <t>YPF.Md.NCF-31</t>
  </si>
  <si>
    <t>NCF-0031</t>
  </si>
  <si>
    <t>YPF.Md.NCF-32</t>
  </si>
  <si>
    <t>NCF-0032</t>
  </si>
  <si>
    <t>YPF.Md.NCF-34</t>
  </si>
  <si>
    <t>NCF-0034</t>
  </si>
  <si>
    <t>YPF.Md.NCF-39</t>
  </si>
  <si>
    <t>NCF-0039</t>
  </si>
  <si>
    <t>YPF.Md.NCF-40</t>
  </si>
  <si>
    <t>NCF-0040</t>
  </si>
  <si>
    <t>YPF.Md.NCF-41</t>
  </si>
  <si>
    <t>NCF-0041</t>
  </si>
  <si>
    <t>YPF.Md.NCF-43</t>
  </si>
  <si>
    <t>NCF-0043</t>
  </si>
  <si>
    <t>YPF.Md.NCF-44</t>
  </si>
  <si>
    <t>NCF-0044</t>
  </si>
  <si>
    <t>YPF.Md.NCF-45</t>
  </si>
  <si>
    <t>NCF-0045</t>
  </si>
  <si>
    <t>YPF.Md.NCF.a-46</t>
  </si>
  <si>
    <t>NCF-46</t>
  </si>
  <si>
    <t>YPF.Md.NCF.a-52</t>
  </si>
  <si>
    <t>NCF-52</t>
  </si>
  <si>
    <t>Electro Sumergible</t>
  </si>
  <si>
    <t>YPF.Md.NCF-58</t>
  </si>
  <si>
    <t>NCF-0058</t>
  </si>
  <si>
    <t>Plunger Lift</t>
  </si>
  <si>
    <t>YPF.Md.NCF-59</t>
  </si>
  <si>
    <t>NCF-0059</t>
  </si>
  <si>
    <t>YPF.Md.NCF-66</t>
  </si>
  <si>
    <t>NCF-0066</t>
  </si>
  <si>
    <t>YPF.Md.NCF-68</t>
  </si>
  <si>
    <t>NCF-0068</t>
  </si>
  <si>
    <t>YPF.Md.NCF-70</t>
  </si>
  <si>
    <t>NCF-0070</t>
  </si>
  <si>
    <t>YPF.Md.NCF-71</t>
  </si>
  <si>
    <t>YPF.Md.NCF-73</t>
  </si>
  <si>
    <t>NCF-0073</t>
  </si>
  <si>
    <t>YPF.Md.NCF-75</t>
  </si>
  <si>
    <t>NCF-75[00]</t>
  </si>
  <si>
    <t>YPF.Md.NCF-76</t>
  </si>
  <si>
    <t>NCF-0076</t>
  </si>
  <si>
    <t>YPF.Md.NCF-77</t>
  </si>
  <si>
    <t>NCF-0077</t>
  </si>
  <si>
    <t>YPF.Md.NCF-78</t>
  </si>
  <si>
    <t>NCF-0078</t>
  </si>
  <si>
    <t>YPF.Md.NCF-82</t>
  </si>
  <si>
    <t>NCF-0082</t>
  </si>
  <si>
    <t>YPF.Md.NCF-84</t>
  </si>
  <si>
    <t>NCF-0084</t>
  </si>
  <si>
    <t>YPF.Md.NCF-87</t>
  </si>
  <si>
    <t>NCF-0087</t>
  </si>
  <si>
    <t>YPF.Md.NLAS.x-1</t>
  </si>
  <si>
    <t>NLAS-1</t>
  </si>
  <si>
    <t>PTC</t>
  </si>
  <si>
    <t>SECUNDARIA LAS</t>
  </si>
  <si>
    <t>YPF.Md.NLAS.x-2</t>
  </si>
  <si>
    <t>NLAS-2</t>
  </si>
  <si>
    <t>YPF.Md.NLAS-5</t>
  </si>
  <si>
    <t>NLAS-0005</t>
  </si>
  <si>
    <t>LAS- 01</t>
  </si>
  <si>
    <t>YPF.Md.NLAS.a-6</t>
  </si>
  <si>
    <t>NLAS-6</t>
  </si>
  <si>
    <t>LAS1</t>
  </si>
  <si>
    <t>YPF.Md.NLAS-7</t>
  </si>
  <si>
    <t>NLAS-0007</t>
  </si>
  <si>
    <t>YPF.Md.NLAS-8</t>
  </si>
  <si>
    <t>NLAS-0008</t>
  </si>
  <si>
    <t>YPF.Md.NLAS-9</t>
  </si>
  <si>
    <t>NLAS-0009</t>
  </si>
  <si>
    <t>YPF.Md.NLAS-10</t>
  </si>
  <si>
    <t>NLAS-0010</t>
  </si>
  <si>
    <t>YPF.Md.NLAS-11</t>
  </si>
  <si>
    <t>NLAS-0011</t>
  </si>
  <si>
    <t>YPF.Md.NLAS-12</t>
  </si>
  <si>
    <t>NLAS-0012</t>
  </si>
  <si>
    <t>YPF.Md.NLAS.a-13</t>
  </si>
  <si>
    <t>NLAS-13</t>
  </si>
  <si>
    <t>YPF.Md.NLAS-14</t>
  </si>
  <si>
    <t>NLAS-14</t>
  </si>
  <si>
    <t>LAS1(LAS23)</t>
  </si>
  <si>
    <t>YPF.Md.NLAS.a-15</t>
  </si>
  <si>
    <t>NLAS-15</t>
  </si>
  <si>
    <t>YPF.Md.NLAS-16</t>
  </si>
  <si>
    <t>NLAS-0016</t>
  </si>
  <si>
    <t>YPF.Md.NLAS-17</t>
  </si>
  <si>
    <t>NLAS-0017</t>
  </si>
  <si>
    <t>YPF.Md.NLAS-18</t>
  </si>
  <si>
    <t>NLAS-0018</t>
  </si>
  <si>
    <t>YPF.Md.NLAS-19</t>
  </si>
  <si>
    <t>NLAS-0019</t>
  </si>
  <si>
    <t>YPF.Md.NLAS-20</t>
  </si>
  <si>
    <t>NLAS-0020</t>
  </si>
  <si>
    <t>YPF.Md.NLAS-21</t>
  </si>
  <si>
    <t>NLAS-0021</t>
  </si>
  <si>
    <t>YPF.Md.NLAS-23</t>
  </si>
  <si>
    <t>NLAS-0023</t>
  </si>
  <si>
    <t>YPF.Md.NLAS-24</t>
  </si>
  <si>
    <t>NLAS-0024</t>
  </si>
  <si>
    <t>YPF.Md.NLAS-25</t>
  </si>
  <si>
    <t>NLAS-0025</t>
  </si>
  <si>
    <t>YPF.Md.NLAS-26</t>
  </si>
  <si>
    <t>NLAS-0026</t>
  </si>
  <si>
    <t>YPF.Md.NLAS-28</t>
  </si>
  <si>
    <t>NLAS-0028</t>
  </si>
  <si>
    <t>INYECCIÓN MARG. LAS</t>
  </si>
  <si>
    <t>YPF.Md.NLAS-30</t>
  </si>
  <si>
    <t>NLAS-0030</t>
  </si>
  <si>
    <t>YPF.Md.NLAS-31</t>
  </si>
  <si>
    <t>NLAS-0031</t>
  </si>
  <si>
    <t>YPF.Md.NLAS-32</t>
  </si>
  <si>
    <t>NLAS-0032</t>
  </si>
  <si>
    <t>YPF.Md.NLAS-35</t>
  </si>
  <si>
    <t>NLAS-0035</t>
  </si>
  <si>
    <t>YPF.Md.NLAS-36</t>
  </si>
  <si>
    <t>NLAS-0036</t>
  </si>
  <si>
    <t>YPF.Md.NLAS-39</t>
  </si>
  <si>
    <t>NLAS-0039</t>
  </si>
  <si>
    <t>YPF.Md.NLCa.x-1</t>
  </si>
  <si>
    <t>NLCa-0001</t>
  </si>
  <si>
    <t>INYECCIÓN MARG. LCA</t>
  </si>
  <si>
    <t>YPF.Md.NLCa.e-2</t>
  </si>
  <si>
    <t>NLCa-2</t>
  </si>
  <si>
    <t>MDM</t>
  </si>
  <si>
    <t>YPF.Md.NLCa.a-5</t>
  </si>
  <si>
    <t>NLCa-5</t>
  </si>
  <si>
    <t>LCA- 01</t>
  </si>
  <si>
    <t>LCA-1</t>
  </si>
  <si>
    <t>YPF.Md.NLCa-16</t>
  </si>
  <si>
    <t>NLCa-0016</t>
  </si>
  <si>
    <t>YPF.Md.NLCa.a-33</t>
  </si>
  <si>
    <t>NLCa-0033</t>
  </si>
  <si>
    <t>LCA- 02</t>
  </si>
  <si>
    <t>LCA-2</t>
  </si>
  <si>
    <t>YPF.Md.NLCa-36</t>
  </si>
  <si>
    <t>NLCa-0036</t>
  </si>
  <si>
    <t>YPF.Md.NLCa-37</t>
  </si>
  <si>
    <t>NLCa-0037</t>
  </si>
  <si>
    <t>YPF.Md.NLCa-47</t>
  </si>
  <si>
    <t>NLCa-0047</t>
  </si>
  <si>
    <t>YPF.Md.NLCa-48</t>
  </si>
  <si>
    <t>NLCa-0048</t>
  </si>
  <si>
    <t>YPF.Md.NLCa-53</t>
  </si>
  <si>
    <t>NLCa-0053</t>
  </si>
  <si>
    <t>YPF.Md.NLCa-55</t>
  </si>
  <si>
    <t>NLCa-0055</t>
  </si>
  <si>
    <t>YPF.Md.NLCa-56</t>
  </si>
  <si>
    <t>NLCa-0056</t>
  </si>
  <si>
    <t>YPF.Md.NLCa-62</t>
  </si>
  <si>
    <t>NLCa-0062</t>
  </si>
  <si>
    <t>LCA- 03</t>
  </si>
  <si>
    <t>YPF.Md.NLCa-67</t>
  </si>
  <si>
    <t>NLCa-0067</t>
  </si>
  <si>
    <t>YPF.Md.NLCa-68</t>
  </si>
  <si>
    <t>NLCa-0068</t>
  </si>
  <si>
    <t>YPF.Md.NLCa-73</t>
  </si>
  <si>
    <t>NLCa-0073</t>
  </si>
  <si>
    <t>YPF.Md.NLCa-76</t>
  </si>
  <si>
    <t>NLCa-0076</t>
  </si>
  <si>
    <t>YPF.Md.NLCa-78</t>
  </si>
  <si>
    <t>NLCa-0078</t>
  </si>
  <si>
    <t>YPF.Md.NLCa-85</t>
  </si>
  <si>
    <t>NLCa-0085</t>
  </si>
  <si>
    <t>YPF.Md.NLCa-138</t>
  </si>
  <si>
    <t>YPF.Md.NLCa-142</t>
  </si>
  <si>
    <t>NLCa-0142</t>
  </si>
  <si>
    <t>YPF.Md.NLDM.x-1</t>
  </si>
  <si>
    <t>NLDM-0001</t>
  </si>
  <si>
    <t>MGN Zona I</t>
  </si>
  <si>
    <t>LDLM</t>
  </si>
  <si>
    <t>YPF.Md.NLDM-4</t>
  </si>
  <si>
    <t>NLDM-0004</t>
  </si>
  <si>
    <t>YPF.Md.NLDM-5</t>
  </si>
  <si>
    <t>NLDM-0005</t>
  </si>
  <si>
    <t>YPF.Md.NLDM.a-6</t>
  </si>
  <si>
    <t>NLDM-6</t>
  </si>
  <si>
    <t>YPF.Md.NLDM-9</t>
  </si>
  <si>
    <t>NLDM-0009</t>
  </si>
  <si>
    <t>YPF.Md.NLDM-10</t>
  </si>
  <si>
    <t>NLDM-0010</t>
  </si>
  <si>
    <t>YPF.Md.NMDM-21</t>
  </si>
  <si>
    <t>NMDM-0021</t>
  </si>
  <si>
    <t>YPF.Md.NMDM-27</t>
  </si>
  <si>
    <t>NMDM-0027</t>
  </si>
  <si>
    <t>YPF.Md.NMDM-46</t>
  </si>
  <si>
    <t>NMDM-0046</t>
  </si>
  <si>
    <t>YPF.Md.NMDM-76</t>
  </si>
  <si>
    <t>NMDM-0076</t>
  </si>
  <si>
    <t>Surgente</t>
  </si>
  <si>
    <t>YPF.Md.NPP-6</t>
  </si>
  <si>
    <t>PP</t>
  </si>
  <si>
    <t>YPF.Md.NPP-10</t>
  </si>
  <si>
    <t>NPP-10</t>
  </si>
  <si>
    <t>YPF.Md.NPP.a-13</t>
  </si>
  <si>
    <t>NPP-13</t>
  </si>
  <si>
    <t>YPF.Md.NPP.a-16</t>
  </si>
  <si>
    <t>NPP-16</t>
  </si>
  <si>
    <t>YPF.Md.NPP-17</t>
  </si>
  <si>
    <t>NPP-0017</t>
  </si>
  <si>
    <t>YPF.Md.NPP-19</t>
  </si>
  <si>
    <t>NPP-0019</t>
  </si>
  <si>
    <t>YPF.Md.NPP.a-20</t>
  </si>
  <si>
    <t>NPP-20</t>
  </si>
  <si>
    <t>YPF.Md.NPP-24</t>
  </si>
  <si>
    <t>YPF.Md.NPP-26</t>
  </si>
  <si>
    <t>YPF.Md.NPP-31</t>
  </si>
  <si>
    <t>NPP-0031</t>
  </si>
  <si>
    <t>YPF.Md.NPP.a-33</t>
  </si>
  <si>
    <t>NPP-33</t>
  </si>
  <si>
    <t>YPF.Md.NPP-36</t>
  </si>
  <si>
    <t>NPP-0036</t>
  </si>
  <si>
    <t>YPF.Md.NPP-37</t>
  </si>
  <si>
    <t>NPP-0037</t>
  </si>
  <si>
    <t>YPF.Md.NPP-43</t>
  </si>
  <si>
    <t>NPP-0043</t>
  </si>
  <si>
    <t>YPF.Md.NPP-48</t>
  </si>
  <si>
    <t>NPP-0048</t>
  </si>
  <si>
    <t>YPF.Md.NPP-49</t>
  </si>
  <si>
    <t>NPP-0049</t>
  </si>
  <si>
    <t>YPF.Md.NPP-51</t>
  </si>
  <si>
    <t>NPP-0051</t>
  </si>
  <si>
    <t>YPF.Md.NPP-53</t>
  </si>
  <si>
    <t>NPP-0053</t>
  </si>
  <si>
    <t>YPF.Md.NPP-55</t>
  </si>
  <si>
    <t>NPP-0055</t>
  </si>
  <si>
    <t>YPF.Md.NLAS-22</t>
  </si>
  <si>
    <t>NLAS-0022</t>
  </si>
  <si>
    <t>YPF.Md.NMDM.a-29</t>
  </si>
  <si>
    <t>NMDM-29</t>
  </si>
  <si>
    <t>YPF.Md.NMDM-28</t>
  </si>
  <si>
    <t>NMDM-0028</t>
  </si>
  <si>
    <t>YPF.Md.NCFS.x-1</t>
  </si>
  <si>
    <t>NCFS.x-1</t>
  </si>
  <si>
    <t>YPF.Md.NCF-86</t>
  </si>
  <si>
    <t>NCF-0086</t>
  </si>
  <si>
    <t>YPF.Md.NCF-89</t>
  </si>
  <si>
    <t>NCF-0089</t>
  </si>
  <si>
    <t>YPF.Md.NMDM-25</t>
  </si>
  <si>
    <t>NMDM-0025</t>
  </si>
  <si>
    <t>YPF.Md.NLCa.a-26</t>
  </si>
  <si>
    <t>NLCa-26</t>
  </si>
  <si>
    <t>YPF.Md.NMDM.a-56</t>
  </si>
  <si>
    <t>YPF.Md.NLCa-49</t>
  </si>
  <si>
    <t>NLCa-0049</t>
  </si>
  <si>
    <t>YPF.Md.NLDM-8h</t>
  </si>
  <si>
    <t>NLDM-8[00]</t>
  </si>
  <si>
    <t>YPF.Md.NMDM-39</t>
  </si>
  <si>
    <t>NMDM-0039</t>
  </si>
  <si>
    <t>YPF.Md.NMDM-32</t>
  </si>
  <si>
    <t>NMDM-0032</t>
  </si>
  <si>
    <t>INYECCIÓN MARG. MDM</t>
  </si>
  <si>
    <t>YPF.Md.NMDM-19</t>
  </si>
  <si>
    <t>NMDM-0019</t>
  </si>
  <si>
    <t>YPF.Md.NCF-50</t>
  </si>
  <si>
    <t>YPF.Md.NCF-65</t>
  </si>
  <si>
    <t>NCF-0065</t>
  </si>
  <si>
    <t>YPF.Md.NCF-67</t>
  </si>
  <si>
    <t>NCF-0067</t>
  </si>
  <si>
    <t>YPF.Md.NCF-69</t>
  </si>
  <si>
    <t>YPF.Md.NCF-93</t>
  </si>
  <si>
    <t>NCF-0093</t>
  </si>
  <si>
    <t>YPF.Md.NCF-90</t>
  </si>
  <si>
    <t>NCF-0090</t>
  </si>
  <si>
    <t>YPF.Md.NCF.a-47</t>
  </si>
  <si>
    <t>NCF-0047</t>
  </si>
  <si>
    <t>YPF.Md.NRG-26</t>
  </si>
  <si>
    <t>NRG-0026</t>
  </si>
  <si>
    <t>MDM(RG28)</t>
  </si>
  <si>
    <t>YPF.Md.NRG-28</t>
  </si>
  <si>
    <t>NRG-0028</t>
  </si>
  <si>
    <t>YPF.Md.NCF-94</t>
  </si>
  <si>
    <t>NCF-0094</t>
  </si>
  <si>
    <t>YPF.Md.NCF-36</t>
  </si>
  <si>
    <t>NCF-0036</t>
  </si>
  <si>
    <t>YPF.Md.NCF-96</t>
  </si>
  <si>
    <t>NCF-96</t>
  </si>
  <si>
    <t>YPF.Md.NCF-101(I)</t>
  </si>
  <si>
    <t>NCF-101(I)</t>
  </si>
  <si>
    <t>YPF.Md.NCF-99</t>
  </si>
  <si>
    <t>NCF-0099</t>
  </si>
  <si>
    <t>YPF.Md.NCF-100</t>
  </si>
  <si>
    <t>NCF-0100</t>
  </si>
  <si>
    <t>YPF.Md.NCF-55</t>
  </si>
  <si>
    <t>NCF-0055</t>
  </si>
  <si>
    <t>YPF.Md.NLCa-75</t>
  </si>
  <si>
    <t>NLCa-0075</t>
  </si>
  <si>
    <t>YPF.Md.NCF-98</t>
  </si>
  <si>
    <t>NCF-0098</t>
  </si>
  <si>
    <t>YPF.Md.NMDM.a-82</t>
  </si>
  <si>
    <t>NMDM-82</t>
  </si>
  <si>
    <t>MDMO</t>
  </si>
  <si>
    <t>MDMO(I)</t>
  </si>
  <si>
    <t>YPF.Md.NLAS-41</t>
  </si>
  <si>
    <t>NLAS-0041</t>
  </si>
  <si>
    <t>YPF.Md.NCF-107</t>
  </si>
  <si>
    <t>NCF-0107</t>
  </si>
  <si>
    <t>YPF.Md.NCF-109</t>
  </si>
  <si>
    <t>NCF-0109</t>
  </si>
  <si>
    <t>YPF.Md.NALAt.x-2</t>
  </si>
  <si>
    <t>NALAt-0002</t>
  </si>
  <si>
    <t>YPF.Md.NCF-105</t>
  </si>
  <si>
    <t>YPF.Md.NLDM.a-11</t>
  </si>
  <si>
    <t>NLDM-0011</t>
  </si>
  <si>
    <t>AGUA PURGA LDM.(V)</t>
  </si>
  <si>
    <t>YPF.Md.NCF-108</t>
  </si>
  <si>
    <t>NCF-0108</t>
  </si>
  <si>
    <t>YPF.Md.NCF-114</t>
  </si>
  <si>
    <t>NCF-0114</t>
  </si>
  <si>
    <t>YPF.Md.NCF.a-115</t>
  </si>
  <si>
    <t>NCF-115</t>
  </si>
  <si>
    <t>YPF.Md.NLDM-12</t>
  </si>
  <si>
    <t>NLDM-12</t>
  </si>
  <si>
    <t>YPF.Md.NMDM-83</t>
  </si>
  <si>
    <t>NMDM-83</t>
  </si>
  <si>
    <t>YPF.Md.NCF-117</t>
  </si>
  <si>
    <t>NCF-117</t>
  </si>
  <si>
    <t>YPF.Md.NCD.x-16</t>
  </si>
  <si>
    <t>NCD-16</t>
  </si>
  <si>
    <t>YPF.Md.NCF-119</t>
  </si>
  <si>
    <t>NCF-119</t>
  </si>
  <si>
    <t>YPF.Md.NPP.x-9</t>
  </si>
  <si>
    <t>NPP-9</t>
  </si>
  <si>
    <t>INYEC.MARG-PP</t>
  </si>
  <si>
    <t>YPF.Md.NPP-25(I)</t>
  </si>
  <si>
    <t>NPP-0025(I)</t>
  </si>
  <si>
    <t>YPF.Md.NPP-28</t>
  </si>
  <si>
    <t>NPP-0028</t>
  </si>
  <si>
    <t>YPF.Md.NPP-30</t>
  </si>
  <si>
    <t>YPF.Md.NPP-42</t>
  </si>
  <si>
    <t>NPP-0042</t>
  </si>
  <si>
    <t>YPF.Md.NPP-44</t>
  </si>
  <si>
    <t>NPP-0044</t>
  </si>
  <si>
    <t>YPF.Md.NPP-46</t>
  </si>
  <si>
    <t>YPF.Md.NPP-56</t>
  </si>
  <si>
    <t>NPP-0056</t>
  </si>
  <si>
    <t>YPF.Md.NCD.a-5</t>
  </si>
  <si>
    <t>NCD-0005</t>
  </si>
  <si>
    <t>YPF.Md.NRG-32</t>
  </si>
  <si>
    <t>NRG-0032</t>
  </si>
  <si>
    <t>YPF.Md.NRG.a-35</t>
  </si>
  <si>
    <t>RG.a-35</t>
  </si>
  <si>
    <t>YPF.Md.NMDM-11</t>
  </si>
  <si>
    <t>NMDM-0011</t>
  </si>
  <si>
    <t>YPF.Md.NMDM-17</t>
  </si>
  <si>
    <t>NMDM-0017</t>
  </si>
  <si>
    <t>YPF.Md.NMDM-47</t>
  </si>
  <si>
    <t>NMDM-0047</t>
  </si>
  <si>
    <t>YPF.Md.NMDM-58</t>
  </si>
  <si>
    <t>NMDM-0058</t>
  </si>
  <si>
    <t>YPF.Md.NMDM-62</t>
  </si>
  <si>
    <t>NMDM-0062</t>
  </si>
  <si>
    <t>YPF.Md.NMDM.x-64</t>
  </si>
  <si>
    <t>NMDM-64</t>
  </si>
  <si>
    <t>YPF.Md.NMDM.a-69</t>
  </si>
  <si>
    <t>NMDM-0069</t>
  </si>
  <si>
    <t>LCA- 04</t>
  </si>
  <si>
    <t>LCA-4</t>
  </si>
  <si>
    <t>YPF.Md.NMDM-72</t>
  </si>
  <si>
    <t>YPF.Md.NMDM-77</t>
  </si>
  <si>
    <t>NMDM-0077</t>
  </si>
  <si>
    <t>YPF.Md.NLCa-11</t>
  </si>
  <si>
    <t>NLCa-0011</t>
  </si>
  <si>
    <t>YPF.Md.NLCa-38</t>
  </si>
  <si>
    <t>NLCa-0038</t>
  </si>
  <si>
    <t>YPF.Md.NLCa-54</t>
  </si>
  <si>
    <t>NLCa-0054</t>
  </si>
  <si>
    <t>YPF.Md.NLCa-57</t>
  </si>
  <si>
    <t>NLCa-0057</t>
  </si>
  <si>
    <t>YPF.Md.NLCa.a-82</t>
  </si>
  <si>
    <t>NLCa-82</t>
  </si>
  <si>
    <t>YPF.Md.NLCa-88</t>
  </si>
  <si>
    <t>NLCa-0088</t>
  </si>
  <si>
    <t>YPF.Md.NLCa-127</t>
  </si>
  <si>
    <t>NLCa-0127</t>
  </si>
  <si>
    <t>YPF.Md.NCF-53</t>
  </si>
  <si>
    <t>NCF-0053</t>
  </si>
  <si>
    <t>YPF.Md.NCF-54</t>
  </si>
  <si>
    <t>NCF-0054</t>
  </si>
  <si>
    <t>YPF.Md.NCF-56</t>
  </si>
  <si>
    <t>YPF.Md.NCF.a-60</t>
  </si>
  <si>
    <t>NCF-0060</t>
  </si>
  <si>
    <t>YPF.Md.NCF-81</t>
  </si>
  <si>
    <t>YPF.Md.NCF-88</t>
  </si>
  <si>
    <t>YPF.Md.NCF-113</t>
  </si>
  <si>
    <t>YPF.Md.NCFS.x-2</t>
  </si>
  <si>
    <t>NCFS.x-2</t>
  </si>
  <si>
    <t>YPF.Md.NALAt.x-1</t>
  </si>
  <si>
    <t>NALAt-0001</t>
  </si>
  <si>
    <t>YPF.Md.NLAS-44</t>
  </si>
  <si>
    <t>NLAS-44</t>
  </si>
  <si>
    <t>YPF.Md.NMDM-84</t>
  </si>
  <si>
    <t>NMDM-84</t>
  </si>
  <si>
    <t>YPF.Md.NLAS-45</t>
  </si>
  <si>
    <t>NLAS-45</t>
  </si>
  <si>
    <t>YPF.Md.NLAS-46</t>
  </si>
  <si>
    <t>NLAS-46</t>
  </si>
  <si>
    <t>YPF.Md.NCF-120</t>
  </si>
  <si>
    <t>NCF-120</t>
  </si>
  <si>
    <t>YPF.Md.NLAS.a-43</t>
  </si>
  <si>
    <t>NLAS-0043</t>
  </si>
  <si>
    <t>INYEC.MARG-MGS</t>
  </si>
  <si>
    <t>YPF.Md.NLAS-49</t>
  </si>
  <si>
    <t>NLAS-49</t>
  </si>
  <si>
    <t>YPF.Md.NLAS-48</t>
  </si>
  <si>
    <t>NLAS-48</t>
  </si>
  <si>
    <t>YPF.Md.NLAS-47</t>
  </si>
  <si>
    <t>NLAS-47</t>
  </si>
  <si>
    <t>YPF.Md.NLAS-50</t>
  </si>
  <si>
    <t>NLAS-50</t>
  </si>
  <si>
    <t>YPF.Md.NLAS-51</t>
  </si>
  <si>
    <t>NLAS-51</t>
  </si>
  <si>
    <t>YPF.Md.NLAS-53</t>
  </si>
  <si>
    <t>NLAS-53</t>
  </si>
  <si>
    <t>YPF.Md.NLAS-55</t>
  </si>
  <si>
    <t>NLAS-55</t>
  </si>
  <si>
    <t>YPF.Md.NLAS-58</t>
  </si>
  <si>
    <t>NLAS-58</t>
  </si>
  <si>
    <t>YPF.Md.NLL-2001h</t>
  </si>
  <si>
    <t>LLAN-BATERIA 3</t>
  </si>
  <si>
    <t>YPF.Md.NCF-112</t>
  </si>
  <si>
    <t>NCF-0112</t>
  </si>
  <si>
    <t>YPF.Md.NCF-122</t>
  </si>
  <si>
    <t>NCF-122</t>
  </si>
  <si>
    <t>YPF.Md.NCF-123</t>
  </si>
  <si>
    <t>NCF-123</t>
  </si>
  <si>
    <t>YPF.Md.NCF-121</t>
  </si>
  <si>
    <t>NCF-121</t>
  </si>
  <si>
    <t>YPF.Md.NCF-125</t>
  </si>
  <si>
    <t>NCF-125</t>
  </si>
  <si>
    <t>UO.Md.NLL-1003</t>
  </si>
  <si>
    <t>NLL-1003</t>
  </si>
  <si>
    <t>UO.Md.NLL-1006</t>
  </si>
  <si>
    <t>NLL-1006</t>
  </si>
  <si>
    <t>UO.Md.NLL-1007</t>
  </si>
  <si>
    <t>LLAN-BATERIA 1</t>
  </si>
  <si>
    <t>YPF.Md.NCF-127</t>
  </si>
  <si>
    <t>NCF-127</t>
  </si>
  <si>
    <t>YPF.Md.NCF-128</t>
  </si>
  <si>
    <t>NCF-128</t>
  </si>
  <si>
    <t>YPF.Md.NMDM.a-87(I)</t>
  </si>
  <si>
    <t>NMDM-87(I)</t>
  </si>
  <si>
    <t>YPF.Md.NCF-129</t>
  </si>
  <si>
    <t>NCF-129</t>
  </si>
  <si>
    <t>YPF.Md.NCF-130</t>
  </si>
  <si>
    <t>NCF-130</t>
  </si>
  <si>
    <t>YPF.Md.NCD.a-18</t>
  </si>
  <si>
    <t>NCD-18</t>
  </si>
  <si>
    <t>YPF.Md.NCF-131</t>
  </si>
  <si>
    <t>NCF-131</t>
  </si>
  <si>
    <t>YPF.Md.NMDM-88</t>
  </si>
  <si>
    <t>NMDM-88</t>
  </si>
  <si>
    <t>YPF.Md.NLAS-59</t>
  </si>
  <si>
    <t>NLAS-59</t>
  </si>
  <si>
    <t>YPF.Md.NLAS-60</t>
  </si>
  <si>
    <t>NLAS-60</t>
  </si>
  <si>
    <t>YPF.Md.NLAS-62</t>
  </si>
  <si>
    <t>NLAS-62</t>
  </si>
  <si>
    <t>YPF.Md.NLVo.es-1</t>
  </si>
  <si>
    <t>NLVo-1</t>
  </si>
  <si>
    <t>YPF.Md.NCF-132</t>
  </si>
  <si>
    <t>NCF-132</t>
  </si>
  <si>
    <t>YPF.Md.NCF-133</t>
  </si>
  <si>
    <t>NCF-133</t>
  </si>
  <si>
    <t>YPF.Md.NCF-134</t>
  </si>
  <si>
    <t>NCF-134</t>
  </si>
  <si>
    <t>YPF.Md.NCF-136</t>
  </si>
  <si>
    <t>NCF-136</t>
  </si>
  <si>
    <t>YPF.Md.NCF-135</t>
  </si>
  <si>
    <t>NCF-135</t>
  </si>
  <si>
    <t>YPF.Md.NCFS.a-4</t>
  </si>
  <si>
    <t>NCFS.a-4</t>
  </si>
  <si>
    <t>YPF.Md.NLAS-64</t>
  </si>
  <si>
    <t>NLAS-64</t>
  </si>
  <si>
    <t>YPF.Md.NLAS-65</t>
  </si>
  <si>
    <t>NLAS-65</t>
  </si>
  <si>
    <t>YPF.Md.NLAS-63</t>
  </si>
  <si>
    <t>NLAS-63</t>
  </si>
  <si>
    <t>YPF.Md.NRG-9(I)</t>
  </si>
  <si>
    <t>NRG-9(I)</t>
  </si>
  <si>
    <t>RG</t>
  </si>
  <si>
    <t>YPF.Md.NRG-15(I)</t>
  </si>
  <si>
    <t>NRG-15(I)</t>
  </si>
  <si>
    <t>YPF.Md.NLAS-66</t>
  </si>
  <si>
    <t>NLAS-66</t>
  </si>
  <si>
    <t>YPF.Md.NCF-137</t>
  </si>
  <si>
    <t>NCF-137</t>
  </si>
  <si>
    <t>YPF.Md.NLAS-67</t>
  </si>
  <si>
    <t>NLAS-67</t>
  </si>
  <si>
    <t>YPF.Md.NCF-152</t>
  </si>
  <si>
    <t>NCF-152</t>
  </si>
  <si>
    <t>YPF.Md.NLAS-68</t>
  </si>
  <si>
    <t>NLAS-68</t>
  </si>
  <si>
    <t>YPF.Md.NCF-140</t>
  </si>
  <si>
    <t>NCF-140</t>
  </si>
  <si>
    <t>YPF.Md.NLAS-69</t>
  </si>
  <si>
    <t>NLAS-69</t>
  </si>
  <si>
    <t>YPF.Md.NLAS-70</t>
  </si>
  <si>
    <t>NLAS-70</t>
  </si>
  <si>
    <t>YPF.Md.NCF-151</t>
  </si>
  <si>
    <t>NCF-151</t>
  </si>
  <si>
    <t>YPF.Md.NCF-142</t>
  </si>
  <si>
    <t>NCF-142</t>
  </si>
  <si>
    <t>YPF.Md.NCF-143</t>
  </si>
  <si>
    <t>NCF-143</t>
  </si>
  <si>
    <t>YPF.Md.NLAS-71</t>
  </si>
  <si>
    <t>NLAS-71</t>
  </si>
  <si>
    <t>YPF.Md.NCF-153</t>
  </si>
  <si>
    <t>NCF-153</t>
  </si>
  <si>
    <t>YPF.Md.NMDM.a-90</t>
  </si>
  <si>
    <t>NMDM.a-90</t>
  </si>
  <si>
    <t>YPF.Md.NCF-144</t>
  </si>
  <si>
    <t>NCF-144</t>
  </si>
  <si>
    <t>YPF.Md.NCF-146</t>
  </si>
  <si>
    <t>NCF-146</t>
  </si>
  <si>
    <t>YPF.Md.NCF.a-148</t>
  </si>
  <si>
    <t>NCF-148</t>
  </si>
  <si>
    <t>YPF.Md.NCFS.a-5</t>
  </si>
  <si>
    <t>NCFS.a-5</t>
  </si>
  <si>
    <t>YPF.Md.NCF-154</t>
  </si>
  <si>
    <t>NCF-154</t>
  </si>
  <si>
    <t>YPF.Md.NCF-157</t>
  </si>
  <si>
    <t>NCF-157</t>
  </si>
  <si>
    <t>YPF.Md.NCF-155</t>
  </si>
  <si>
    <t>NCF-155</t>
  </si>
  <si>
    <t>YPF.Md.NCF-156</t>
  </si>
  <si>
    <t>NCF-156</t>
  </si>
  <si>
    <t>YPF.Md.NCF.a-149</t>
  </si>
  <si>
    <t>NCF-149</t>
  </si>
  <si>
    <t>YPF.Md.NCF-163</t>
  </si>
  <si>
    <t>NCF-163</t>
  </si>
  <si>
    <t>YPF.Md.NRG-38</t>
  </si>
  <si>
    <t>NRG-38</t>
  </si>
  <si>
    <t>YPF.Md.NCF.a-160</t>
  </si>
  <si>
    <t>NCF-160</t>
  </si>
  <si>
    <t>YPF.Md.NCF-162</t>
  </si>
  <si>
    <t>NCF-162</t>
  </si>
  <si>
    <t>YPF.Md.NLAS-72</t>
  </si>
  <si>
    <t>NLAS-72</t>
  </si>
  <si>
    <t>YPF.Md.NCF-168</t>
  </si>
  <si>
    <t>NCF-168</t>
  </si>
  <si>
    <t>YPF.Md.NCF-169</t>
  </si>
  <si>
    <t>NCF-169</t>
  </si>
  <si>
    <t>YPF.Md.NRG.a-41</t>
  </si>
  <si>
    <t>NRG-41</t>
  </si>
  <si>
    <t>YPF.Md.NCF.a-164</t>
  </si>
  <si>
    <t>NCF-164</t>
  </si>
  <si>
    <t>YPF.Md.NCF-165</t>
  </si>
  <si>
    <t>NCF-165</t>
  </si>
  <si>
    <t>YPF.Md.NCF-167</t>
  </si>
  <si>
    <t>NCF-167</t>
  </si>
  <si>
    <t>YPF.Md.NCF-166</t>
  </si>
  <si>
    <t>NCF-166</t>
  </si>
  <si>
    <t>YPF.Md.NLA-13</t>
  </si>
  <si>
    <t>NLA-13</t>
  </si>
  <si>
    <t>LA</t>
  </si>
  <si>
    <t>YPF.Md.NCF-179</t>
  </si>
  <si>
    <t>NCF-179</t>
  </si>
  <si>
    <t>YPF.Md.NCF-178</t>
  </si>
  <si>
    <t>NCF-178</t>
  </si>
  <si>
    <t>YPF.Md.NRG-40</t>
  </si>
  <si>
    <t>NRG-40</t>
  </si>
  <si>
    <t>YPF.Md.NLCa-147</t>
  </si>
  <si>
    <t>NLCa-147</t>
  </si>
  <si>
    <t>YPF.Md.NCF-177</t>
  </si>
  <si>
    <t>NCF-177</t>
  </si>
  <si>
    <t>YPF.Md.NCF-171</t>
  </si>
  <si>
    <t>NCF-171</t>
  </si>
  <si>
    <t>YPF.Md.NCF-180</t>
  </si>
  <si>
    <t>NCF-180</t>
  </si>
  <si>
    <t>YPF.Md.NLDM-16</t>
  </si>
  <si>
    <t>NLDM-16</t>
  </si>
  <si>
    <t>YPF.Md.NCL.a-6</t>
  </si>
  <si>
    <t>NCL-6</t>
  </si>
  <si>
    <t>YPF.Md.NCF.a-9</t>
  </si>
  <si>
    <t>NCF-0009</t>
  </si>
  <si>
    <t>YPF.Md.NCF-181</t>
  </si>
  <si>
    <t>NCF-181</t>
  </si>
  <si>
    <t>YPF.Md.NLA.a-15</t>
  </si>
  <si>
    <t>NLA-15</t>
  </si>
  <si>
    <t>YPF.Md.NCF-172</t>
  </si>
  <si>
    <t>NCF-172</t>
  </si>
  <si>
    <t>YPF.Md.NCF-184</t>
  </si>
  <si>
    <t>NCF-184</t>
  </si>
  <si>
    <t>YPF.Md.NCF-182</t>
  </si>
  <si>
    <t>NCF-182</t>
  </si>
  <si>
    <t>YPF.Md.NCF-174</t>
  </si>
  <si>
    <t>NCF-174</t>
  </si>
  <si>
    <t>YPF.Md.NCF-173</t>
  </si>
  <si>
    <t>NCF-173</t>
  </si>
  <si>
    <t>YPF.Md.NCF-183</t>
  </si>
  <si>
    <t>NCF-183</t>
  </si>
  <si>
    <t>YPF.Md.NCF-170</t>
  </si>
  <si>
    <t>NCF-170</t>
  </si>
  <si>
    <t>YPF.Md.NCF-74</t>
  </si>
  <si>
    <t>NCF-0074</t>
  </si>
  <si>
    <t>YPF.Md.NLDM-20</t>
  </si>
  <si>
    <t>NLDM-20</t>
  </si>
  <si>
    <t>YPF.Md.NLDM-22</t>
  </si>
  <si>
    <t>NLDM-22</t>
  </si>
  <si>
    <t>YPF.Md.NLDM-23</t>
  </si>
  <si>
    <t>NLDM-23</t>
  </si>
  <si>
    <t>YPF.Md.NLDM-24</t>
  </si>
  <si>
    <t>NLDM-24</t>
  </si>
  <si>
    <t>YPF.Md.NCF-186</t>
  </si>
  <si>
    <t>NCF-186</t>
  </si>
  <si>
    <t>YPF.Md.NCF-187</t>
  </si>
  <si>
    <t>NCF-187</t>
  </si>
  <si>
    <t>YPF.Md.NCF-175</t>
  </si>
  <si>
    <t>NCF-175</t>
  </si>
  <si>
    <t>YPF.Md.NCF-189</t>
  </si>
  <si>
    <t>NCF-189</t>
  </si>
  <si>
    <t>YPF.Md.NCF-188</t>
  </si>
  <si>
    <t>NCF-188</t>
  </si>
  <si>
    <t>YPF.Md.NMDM-9(I)</t>
  </si>
  <si>
    <t>NMDM-9(I)</t>
  </si>
  <si>
    <t>YPF.Md.NCF-192</t>
  </si>
  <si>
    <t>NCF-192</t>
  </si>
  <si>
    <t>YPF.Md.NLA.a-17</t>
  </si>
  <si>
    <t>NLA-17</t>
  </si>
  <si>
    <t>YPF.Md.NLDM-26</t>
  </si>
  <si>
    <t>NLDM-26</t>
  </si>
  <si>
    <t>YPF.Md.NLDM-25</t>
  </si>
  <si>
    <t>NLDM-25</t>
  </si>
  <si>
    <t>YPF.Md.NLDM-29</t>
  </si>
  <si>
    <t>NLDM-29</t>
  </si>
  <si>
    <t>YPF.Md.NLDM-28</t>
  </si>
  <si>
    <t>NLDM-28</t>
  </si>
  <si>
    <t>YPF.Md.NCF-190</t>
  </si>
  <si>
    <t>NCF-190</t>
  </si>
  <si>
    <t>YPF.Md.NLDM-27</t>
  </si>
  <si>
    <t>NLDM-27</t>
  </si>
  <si>
    <t>YPF.Md.NLDM-30</t>
  </si>
  <si>
    <t>NLDM-30</t>
  </si>
  <si>
    <t>YPF.Md.NLDM-31</t>
  </si>
  <si>
    <t>NLDM-31</t>
  </si>
  <si>
    <t>YPF.Md.NLDM-32</t>
  </si>
  <si>
    <t>NLDM-32</t>
  </si>
  <si>
    <t>YPF.Md.NCD-20</t>
  </si>
  <si>
    <t>NCD-20</t>
  </si>
  <si>
    <t>YPF.MdN.LVo.a-9(d)</t>
  </si>
  <si>
    <t>LVo.a-9(d)</t>
  </si>
  <si>
    <t>YPF.Md.NLDM-41</t>
  </si>
  <si>
    <t>NLDM-41</t>
  </si>
  <si>
    <t>YPF.Md.NLDM-38</t>
  </si>
  <si>
    <t>NLDM-38</t>
  </si>
  <si>
    <t>YPF.Md.NLDM-40</t>
  </si>
  <si>
    <t>NLDM-40</t>
  </si>
  <si>
    <t>YPF.Md.NLDM.a-46</t>
  </si>
  <si>
    <t>NLDM.a-46</t>
  </si>
  <si>
    <t>YPF.Md.NLAS.IA-74</t>
  </si>
  <si>
    <t>NLAS-74</t>
  </si>
  <si>
    <t>YPF.Md.NLAS.IA-56(I)</t>
  </si>
  <si>
    <t>NLAS-56(I)</t>
  </si>
  <si>
    <t>YPF.Md.NLA.a-19</t>
  </si>
  <si>
    <t>NLA-19</t>
  </si>
  <si>
    <t>YPF.Md.NCF.a-159</t>
  </si>
  <si>
    <t>NCF-159</t>
  </si>
  <si>
    <t>YPF.Md.NCFE.x-2</t>
  </si>
  <si>
    <t>NCFE-0002</t>
  </si>
  <si>
    <t>YPF.Md.NLA-22</t>
  </si>
  <si>
    <t>NLA-22</t>
  </si>
  <si>
    <t>YPF.Md.NCF-33(I)</t>
  </si>
  <si>
    <t>NCF-33(I)</t>
  </si>
  <si>
    <t>YPF.Md.NLDM-39</t>
  </si>
  <si>
    <t>NLDM-39</t>
  </si>
  <si>
    <t>YPF.Md.NLDM-59</t>
  </si>
  <si>
    <t>NLDM-59</t>
  </si>
  <si>
    <t>YPF.Md.NCF-158(I)</t>
  </si>
  <si>
    <t>NCF-158(I)</t>
  </si>
  <si>
    <t>YPF.Md.NLDM-43</t>
  </si>
  <si>
    <t>NLDM-43</t>
  </si>
  <si>
    <t>YPF.Md.NCF-194</t>
  </si>
  <si>
    <t>NCF-194</t>
  </si>
  <si>
    <t>YPF.Md.NLDM-61</t>
  </si>
  <si>
    <t>NLDM-61</t>
  </si>
  <si>
    <t>YPF.Md.NCF-193</t>
  </si>
  <si>
    <t>NCF-193</t>
  </si>
  <si>
    <t>YPF.Md.NCF-197</t>
  </si>
  <si>
    <t>NCF-197</t>
  </si>
  <si>
    <t>YPF.Md.NCF-195</t>
  </si>
  <si>
    <t>NCF-195</t>
  </si>
  <si>
    <t>YPF.Md.NCF-196</t>
  </si>
  <si>
    <t>NCF-196</t>
  </si>
  <si>
    <t>YPF.Md.NCF-199</t>
  </si>
  <si>
    <t>NCF-199</t>
  </si>
  <si>
    <t>YPF.Md.NCF-200</t>
  </si>
  <si>
    <t>NCF-200</t>
  </si>
  <si>
    <t>YPF.Md.NCF-198</t>
  </si>
  <si>
    <t>NCF-198</t>
  </si>
  <si>
    <t>YPF.Md.NCF-201</t>
  </si>
  <si>
    <t>NCF-201</t>
  </si>
  <si>
    <t>YPF.Md.NCF-203</t>
  </si>
  <si>
    <t>NCF-203</t>
  </si>
  <si>
    <t>YPF.Md.NLL.a-2012h</t>
  </si>
  <si>
    <t>NLL.a-2012h</t>
  </si>
  <si>
    <t>LLAN-BATERIA 2</t>
  </si>
  <si>
    <t>YPF.Md.NCF-202</t>
  </si>
  <si>
    <t>NCF-202</t>
  </si>
  <si>
    <t>YPF.Md.NCF-205</t>
  </si>
  <si>
    <t>NCF-205</t>
  </si>
  <si>
    <t>YPF.Md.NCF-206</t>
  </si>
  <si>
    <t>NCF-206</t>
  </si>
  <si>
    <t>YPF.Md.NLL-2010h</t>
  </si>
  <si>
    <t>NLL-2010h</t>
  </si>
  <si>
    <t>YPF.Md.NCF-207</t>
  </si>
  <si>
    <t>NCF-207</t>
  </si>
  <si>
    <t>YPF.Md.NLDM-54</t>
  </si>
  <si>
    <t>NLDM-54</t>
  </si>
  <si>
    <t>YPF.Md.NCF-225</t>
  </si>
  <si>
    <t>NCF-225</t>
  </si>
  <si>
    <t>YPF.Md.NLDM-70</t>
  </si>
  <si>
    <t>NLDM-70</t>
  </si>
  <si>
    <t>YPF.Md.NCF-223</t>
  </si>
  <si>
    <t>NCF-223</t>
  </si>
  <si>
    <t>YPF.Md.NCF-228</t>
  </si>
  <si>
    <t>NCF-228</t>
  </si>
  <si>
    <t>YPF.Md.NCF-222</t>
  </si>
  <si>
    <t>NCF-222</t>
  </si>
  <si>
    <t>YPF.Md.NCF-216</t>
  </si>
  <si>
    <t>NCF-216</t>
  </si>
  <si>
    <t>YPF.Md.NCF-224</t>
  </si>
  <si>
    <t>NCF-224</t>
  </si>
  <si>
    <t>YPF.Md.NLL.a-2013h</t>
  </si>
  <si>
    <t>NLL.a-2013h</t>
  </si>
  <si>
    <t>YPF.MdN.LL.a-2018(h)</t>
  </si>
  <si>
    <t>LL.a-2018(h)</t>
  </si>
  <si>
    <t>LLAN-BATERIA 4</t>
  </si>
  <si>
    <t>YPF.MdN.LL.a-2019(h)</t>
  </si>
  <si>
    <t>LL.a-2019(h)</t>
  </si>
  <si>
    <t>YPF.MdN.LDM-73</t>
  </si>
  <si>
    <t>LDM-73</t>
  </si>
  <si>
    <t>YPF.MdN.LDM-79</t>
  </si>
  <si>
    <t>LDM-79</t>
  </si>
  <si>
    <t>YPF.MdN.LR.a-2</t>
  </si>
  <si>
    <t>LR.a-2</t>
  </si>
  <si>
    <t>YPF.MdN.CF-213(d)</t>
  </si>
  <si>
    <t>CF-213(d)</t>
  </si>
  <si>
    <t>YPF.MdN.CF-214(d)</t>
  </si>
  <si>
    <t>CF-214(d)</t>
  </si>
  <si>
    <t>YPF.MdN.CF-215(d)</t>
  </si>
  <si>
    <t>CF-215(d)</t>
  </si>
  <si>
    <t>YPF.MdN.CF-232(d)</t>
  </si>
  <si>
    <t>CF-232(d)</t>
  </si>
  <si>
    <t>YPF.MdN.CF-233(d)</t>
  </si>
  <si>
    <t>CF-233(d)</t>
  </si>
  <si>
    <t>YPF.MdN.CF-231(d)</t>
  </si>
  <si>
    <t>CF-231(d)</t>
  </si>
  <si>
    <t>YPF.MdN.CF-236(d)</t>
  </si>
  <si>
    <t>CF-236(d)</t>
  </si>
  <si>
    <t>YPF.MdN.CFS.a-7</t>
  </si>
  <si>
    <t>CFS.a-7</t>
  </si>
  <si>
    <t>YPF.MdN.MDM-100</t>
  </si>
  <si>
    <t>MDM-100</t>
  </si>
  <si>
    <t>YPF.MdN.MDM-114</t>
  </si>
  <si>
    <t>MDM-114</t>
  </si>
  <si>
    <t>YPF.MdN.LL-2061(h)</t>
  </si>
  <si>
    <t>LL-2061(h)</t>
  </si>
  <si>
    <t>YPF.MdN.LR-4</t>
  </si>
  <si>
    <t>LR-4</t>
  </si>
  <si>
    <t>YPF.MdN.MDM-108</t>
  </si>
  <si>
    <t>MDM-108</t>
  </si>
  <si>
    <t>YPF.MdN.MdV.x-1</t>
  </si>
  <si>
    <t>MdV.x-1</t>
  </si>
  <si>
    <t>MDV</t>
  </si>
  <si>
    <t>EST.MDV-X1</t>
  </si>
  <si>
    <t>YPF.MdN.LL-2039(h)</t>
  </si>
  <si>
    <t>LL-2039(h)</t>
  </si>
  <si>
    <t>YPF.MdN.LL-2037(h)</t>
  </si>
  <si>
    <t>LL-2037(h)</t>
  </si>
  <si>
    <t>YPF.MdN.CFS-28</t>
  </si>
  <si>
    <t>CFS-28</t>
  </si>
  <si>
    <t>YPF.MdN.LL-2060(h)</t>
  </si>
  <si>
    <t>LL-2060(h)</t>
  </si>
  <si>
    <t>YPF.MdN.LL-2041(h)</t>
  </si>
  <si>
    <t>LL-2041(h)</t>
  </si>
  <si>
    <t>YPF.MdN.LL-2035(h)</t>
  </si>
  <si>
    <t>LL-2035(h)</t>
  </si>
  <si>
    <t>YPF.MdN.CF.IA-237</t>
  </si>
  <si>
    <t>CF.IA-237</t>
  </si>
  <si>
    <t>YPF.MdN.CFS.a-9</t>
  </si>
  <si>
    <t>CFS.a-9</t>
  </si>
  <si>
    <t>YPF.MdN.LAS-57(I)</t>
  </si>
  <si>
    <t>LAS-57(I)</t>
  </si>
  <si>
    <t>YPF.MdN.LAS-61(I)</t>
  </si>
  <si>
    <t>LAS-61(I)</t>
  </si>
  <si>
    <t>YPF.MdN.LCa.a-153(d)</t>
  </si>
  <si>
    <t>LCa.a-153(d)</t>
  </si>
  <si>
    <t>YPF.MdN.LR-7(h)</t>
  </si>
  <si>
    <t>LR-7(h)</t>
  </si>
  <si>
    <t>YPF.MdN.LL-2065(h)</t>
  </si>
  <si>
    <t>LL-2065(h)</t>
  </si>
  <si>
    <t>YPF.MdN.LL-2102(h)</t>
  </si>
  <si>
    <t>LL-2102(h)</t>
  </si>
  <si>
    <t>LLAN-BATERIA 6</t>
  </si>
  <si>
    <t>YPF.MdN.LL-2059(h)</t>
  </si>
  <si>
    <t>LL-2059(h)</t>
  </si>
  <si>
    <t>YPF.MdN.LL-2030(h)</t>
  </si>
  <si>
    <t>LL-2030(h)</t>
  </si>
  <si>
    <t>YPF.MdN.LL-2101(h)</t>
  </si>
  <si>
    <t>LL-2101(h)</t>
  </si>
  <si>
    <t>YPF.MdN.LL-2031(h)</t>
  </si>
  <si>
    <t>LL-2031(h)</t>
  </si>
  <si>
    <t>YPF.MdN.LL.a-2100(h)</t>
  </si>
  <si>
    <t>LL.a-2100(h)</t>
  </si>
  <si>
    <t>YPF.MdN.LL-2045(h)</t>
  </si>
  <si>
    <t>LL-2045(h)</t>
  </si>
  <si>
    <t>YPF.MdN.CF.IA-240(d)</t>
  </si>
  <si>
    <t>CF.IA-240(d)</t>
  </si>
  <si>
    <t>YPF.MdN.CF.IA-238(d)</t>
  </si>
  <si>
    <t>CF.IA-238(d)</t>
  </si>
  <si>
    <t>YPF.MdN.LL-2104(h)</t>
  </si>
  <si>
    <t>LL-2104(h)</t>
  </si>
  <si>
    <t>YPF.MdN.LL-2103(h)</t>
  </si>
  <si>
    <t>LL-2103(h)</t>
  </si>
  <si>
    <t>YPF.MdN.CF-249(d)</t>
  </si>
  <si>
    <t>CF-249(d)</t>
  </si>
  <si>
    <t>YPF.MdN.CF-246(d)</t>
  </si>
  <si>
    <t>CF-246(d)</t>
  </si>
  <si>
    <t>YPF.MdN.CF-247(d)</t>
  </si>
  <si>
    <t>CF-247(d)</t>
  </si>
  <si>
    <t>YPF.MdN.CF-239(d)</t>
  </si>
  <si>
    <t>CF-239(d)</t>
  </si>
  <si>
    <t>YPF.MdN.CF.IA-124(d)(I)</t>
  </si>
  <si>
    <t>CF.IA-124(d)(I)</t>
  </si>
  <si>
    <t>YPF.MdN.CF.IA-241(d)</t>
  </si>
  <si>
    <t>CF.IA-241(d)</t>
  </si>
  <si>
    <t>YPF.MdN.CF.IA-243(d)</t>
  </si>
  <si>
    <t>CF.IA-243(d)</t>
  </si>
  <si>
    <t>YPF.MdN.LL-2042(h)</t>
  </si>
  <si>
    <t>LL-2042(h)</t>
  </si>
  <si>
    <t>YPF.MdN.LL-2033(h)</t>
  </si>
  <si>
    <t>LL-2033(h)</t>
  </si>
  <si>
    <t>YPF.MdN.LL-2058(h)</t>
  </si>
  <si>
    <t>LL-2058(h)</t>
  </si>
  <si>
    <t>LLAN-BATERIA 7</t>
  </si>
  <si>
    <t>YPF.MdN.LL-2032(h)</t>
  </si>
  <si>
    <t>LL-2032(h)</t>
  </si>
  <si>
    <t>YPF.MdN.CF-248(d)</t>
  </si>
  <si>
    <t>CF-248(d)</t>
  </si>
  <si>
    <t>YPF.MdN.CF.IA-244(d)</t>
  </si>
  <si>
    <t>CF.IA-244(d)</t>
  </si>
  <si>
    <t>YPF.MdN.LL-2038(h)</t>
  </si>
  <si>
    <t>LL-2038(h)</t>
  </si>
  <si>
    <t>YPF.MdN.LL.a-2200(h)</t>
  </si>
  <si>
    <t>LL.a-2200(h)</t>
  </si>
  <si>
    <t>YPF.MdN.CF.IA-242(d)</t>
  </si>
  <si>
    <t>CF.IA-242(d)</t>
  </si>
  <si>
    <t>YPF.MdN.CF-217(d)</t>
  </si>
  <si>
    <t>CF-217(d)</t>
  </si>
  <si>
    <t>YPF.MdN.LL-2089(h)</t>
  </si>
  <si>
    <t>LL-2089(h)</t>
  </si>
  <si>
    <t>YPF.MdN.CF-234(d)</t>
  </si>
  <si>
    <t>CF-234(d)</t>
  </si>
  <si>
    <t>YPF.MdN.LL-2056(h)</t>
  </si>
  <si>
    <t>LL-2056(h)</t>
  </si>
  <si>
    <t>YPF.MdN.CFS-15</t>
  </si>
  <si>
    <t>CFS-15</t>
  </si>
  <si>
    <t>YPF.MdN.CF-221(d)(I)</t>
  </si>
  <si>
    <t>CF-221(d)(I)</t>
  </si>
  <si>
    <t>YPF.Md.NCF.x-3</t>
  </si>
  <si>
    <t>NCF-0003</t>
  </si>
  <si>
    <t>YPF.MdN.LAS.IA-78(d)</t>
  </si>
  <si>
    <t>LAS.IA-78(d)</t>
  </si>
  <si>
    <t>YPF.MdN.LA.a-21(d)</t>
  </si>
  <si>
    <t>LA.a-21(d)</t>
  </si>
  <si>
    <t>LA TKS ELEVADOS</t>
  </si>
  <si>
    <t>YPF.MdN.LAS.IA-82(d)</t>
  </si>
  <si>
    <t>LAS.IA-82(d)</t>
  </si>
  <si>
    <t>YPF.MdN.LAS.IA-77(d)</t>
  </si>
  <si>
    <t>LAS.IA-77(d)</t>
  </si>
  <si>
    <t>YPF.Md.NCF-161</t>
  </si>
  <si>
    <t>NCF-161</t>
  </si>
  <si>
    <t>YPF.MdN.CFS-21</t>
  </si>
  <si>
    <t>CFS-21</t>
  </si>
  <si>
    <t>YPF.MdN.CF-252(d)</t>
  </si>
  <si>
    <t>CF-252(d)</t>
  </si>
  <si>
    <t>YPF.MdN.CF-256(d)</t>
  </si>
  <si>
    <t>CF-256(d)</t>
  </si>
  <si>
    <t>YPF.MdN.CF-257(d)</t>
  </si>
  <si>
    <t>CF-257(d)</t>
  </si>
  <si>
    <t>YPF.MdN.LA.a-25(d)</t>
  </si>
  <si>
    <t>LA.a-25(d)</t>
  </si>
  <si>
    <t>YPF.MdN.MDM-122</t>
  </si>
  <si>
    <t>MDM-122</t>
  </si>
  <si>
    <t>YPF.MdN.LAS-42(I)</t>
  </si>
  <si>
    <t>LAS-42(I)</t>
  </si>
  <si>
    <t>YPF.MdN.MDM.a-123</t>
  </si>
  <si>
    <t>MDM.a-123</t>
  </si>
  <si>
    <t>YPF.MdN.CF-259(d)</t>
  </si>
  <si>
    <t>CF-259(d)</t>
  </si>
  <si>
    <t>YPF.MdN.CF-264(d)</t>
  </si>
  <si>
    <t>CF-264(d)</t>
  </si>
  <si>
    <t>YPF.MdN.CF-258(d)</t>
  </si>
  <si>
    <t>CF-258(d)</t>
  </si>
  <si>
    <t>YPF.MdN.CF-269(d)</t>
  </si>
  <si>
    <t>CF-269(d)</t>
  </si>
  <si>
    <t>YPF.MdN.CF-268(d)</t>
  </si>
  <si>
    <t>CF-268(d)</t>
  </si>
  <si>
    <t>YPF.MdN.CF.IA-262(d)</t>
  </si>
  <si>
    <t>CF.IA-262(d)</t>
  </si>
  <si>
    <t>YPF.MdN.CF-20(d)(I)</t>
  </si>
  <si>
    <t>CF-20(d)(I)</t>
  </si>
  <si>
    <t>YPF.MdN.CF.IA-267(d)</t>
  </si>
  <si>
    <t>CF.IA-267(d)</t>
  </si>
  <si>
    <t>YPF.MdN.MDM.a-125</t>
  </si>
  <si>
    <t>MDM.a-125</t>
  </si>
  <si>
    <t>YPF.MdN.MDM.a-121</t>
  </si>
  <si>
    <t>MDM.a-121</t>
  </si>
  <si>
    <t>YPF.MdN.CF.IA-260(d)</t>
  </si>
  <si>
    <t>CF.IA-260(d)</t>
  </si>
  <si>
    <t>YPF.MdN.CF.IA-270(d)</t>
  </si>
  <si>
    <t>CF.IA-270(d)</t>
  </si>
  <si>
    <t>YPF.MdN.CF.IA-150(d)(I)</t>
  </si>
  <si>
    <t>CF.IA-150(d)(I)</t>
  </si>
  <si>
    <t>YPF.MdN.CF.IA-261(d)</t>
  </si>
  <si>
    <t>CF.IA-261(d)</t>
  </si>
  <si>
    <t>YPF.MdN.NLA.x-1</t>
  </si>
  <si>
    <t>NLA.x-1</t>
  </si>
  <si>
    <t>YPF.MdN.CF.IA-266(d)</t>
  </si>
  <si>
    <t>CF.IA-266(d)</t>
  </si>
  <si>
    <t>YPF.MdN.MdVO.x-1</t>
  </si>
  <si>
    <t>MdVO.x-1</t>
  </si>
  <si>
    <t>MDVO</t>
  </si>
  <si>
    <t>EST MDVO.x-01</t>
  </si>
  <si>
    <t>YPF.MdN.ALAt-3(d)</t>
  </si>
  <si>
    <t>ALAt-3(d)</t>
  </si>
  <si>
    <t>YPF.MdN.MdVS.x-1</t>
  </si>
  <si>
    <t>MdVS.x-1</t>
  </si>
  <si>
    <t>MDVS</t>
  </si>
  <si>
    <t>EST.MDVS.x-001</t>
  </si>
  <si>
    <t>YPF.MdN.ALAt-5(d)</t>
  </si>
  <si>
    <t>ALAt-5(d)</t>
  </si>
  <si>
    <t>YPF.MdN.ALAt-7(d)</t>
  </si>
  <si>
    <t>ALAt-7(d)</t>
  </si>
  <si>
    <t>YPF.MdN.CF-271(d)</t>
  </si>
  <si>
    <t>CF-271(d)</t>
  </si>
  <si>
    <t>YPF.MdN.LL-2098(h)</t>
  </si>
  <si>
    <t>LL-2098(h)</t>
  </si>
  <si>
    <t>YPF.MdN.LL-2043(h)</t>
  </si>
  <si>
    <t>LL-2043(h)</t>
  </si>
  <si>
    <t>YPF.MdN.LL.a-2014(h)</t>
  </si>
  <si>
    <t>LL.a-2014(h)</t>
  </si>
  <si>
    <t>LLAN.BAT. 2014</t>
  </si>
  <si>
    <t>YPF.MdN.LL.a-2138(h)</t>
  </si>
  <si>
    <t>LL.a-2138(h)</t>
  </si>
  <si>
    <t>Bruta</t>
  </si>
  <si>
    <t>Etiquetas de fila</t>
  </si>
  <si>
    <t>Total general</t>
  </si>
  <si>
    <t>Suma de Bruta</t>
  </si>
  <si>
    <t>Suma de Petroleo</t>
  </si>
  <si>
    <t>Suma de Agua</t>
  </si>
  <si>
    <t>Costo estimado [USD/mes]</t>
  </si>
  <si>
    <t>PQ</t>
  </si>
  <si>
    <t>Precio</t>
  </si>
  <si>
    <t>Vigencia</t>
  </si>
  <si>
    <t>Fuente</t>
  </si>
  <si>
    <t>I&amp;V CRV</t>
  </si>
  <si>
    <t>Sinopec</t>
  </si>
  <si>
    <t>Comentario</t>
  </si>
  <si>
    <t>Inf Nalco</t>
  </si>
  <si>
    <t>Captron 75: 10,58 (2018-Inf Nalco). Para la mezcla C75/E95 se asume un 50% de c/u</t>
  </si>
  <si>
    <t>I&amp;V - YPF</t>
  </si>
  <si>
    <t>I&amp;VYPF</t>
  </si>
  <si>
    <t>EC6012A</t>
  </si>
  <si>
    <t>TX14532 3,90 (I&amp;V YPF)</t>
  </si>
  <si>
    <t>3,51 I&amp;V YPF 2017</t>
  </si>
  <si>
    <t>1,91 USD Gytron TA-73 SNPC 2019 -  2,19 Gyptron  T-356 I&amp;VYPF</t>
  </si>
  <si>
    <t>Familia</t>
  </si>
  <si>
    <t>CGC - RGL</t>
  </si>
  <si>
    <t xml:space="preserve">GT CGC Inh de parafinas EC6545A 5.47 </t>
  </si>
  <si>
    <t xml:space="preserve"> GT CGC Desemulsionante LA3147A 5.07  - LA3113A I&amp;V YPF (sep agua/oil) 5,29 USD -  LA3303A (desemulsionante) 3USD </t>
  </si>
  <si>
    <t>Uso acumulado [%]</t>
  </si>
  <si>
    <t xml:space="preserve">GT CGC Dispersante Parafina Clear 2335 3.74 </t>
  </si>
  <si>
    <t>Nalco 2016 YPF</t>
  </si>
  <si>
    <t>x-8131</t>
  </si>
  <si>
    <t>Estimado JGB</t>
  </si>
  <si>
    <t>Nombre para control</t>
  </si>
  <si>
    <t>PN</t>
  </si>
  <si>
    <t>PA</t>
  </si>
  <si>
    <t>NCF-141</t>
  </si>
  <si>
    <t>NCF-25</t>
  </si>
  <si>
    <t>NCF-102</t>
  </si>
  <si>
    <t>Base de calculo de concentración</t>
  </si>
  <si>
    <t>PB</t>
  </si>
  <si>
    <t>PG</t>
  </si>
  <si>
    <t>Base</t>
  </si>
  <si>
    <t>Columna</t>
  </si>
  <si>
    <t>Concentración [ppm]</t>
  </si>
  <si>
    <t>Dosis [lpd]</t>
  </si>
  <si>
    <t>Volumen de batch [l]</t>
  </si>
  <si>
    <t>Producto Qco</t>
  </si>
  <si>
    <t>AB</t>
  </si>
  <si>
    <t>BX</t>
  </si>
  <si>
    <t>FB</t>
  </si>
  <si>
    <t>DB</t>
  </si>
  <si>
    <t>HS</t>
  </si>
  <si>
    <t>IC</t>
  </si>
  <si>
    <t>RF</t>
  </si>
  <si>
    <t>RV</t>
  </si>
  <si>
    <t>SO</t>
  </si>
  <si>
    <t>CY</t>
  </si>
  <si>
    <t>IC/CY</t>
  </si>
  <si>
    <t>IP</t>
  </si>
  <si>
    <t>RT</t>
  </si>
  <si>
    <t>BS</t>
  </si>
  <si>
    <t>DP</t>
  </si>
  <si>
    <t>Familia Cod.</t>
  </si>
  <si>
    <t>Familia Cod</t>
  </si>
  <si>
    <t>Clear 2335</t>
  </si>
  <si>
    <t>DN155</t>
  </si>
  <si>
    <t>ENCAPTRON</t>
  </si>
  <si>
    <t>USD/mes</t>
  </si>
  <si>
    <t>Lts/mes</t>
  </si>
  <si>
    <t>USD/lt</t>
  </si>
  <si>
    <t>CU promedio [USD/lt]</t>
  </si>
  <si>
    <t>De acuerdo a reporte de consumo Nov-Dic 2019 de YPF</t>
  </si>
  <si>
    <t>YPF</t>
  </si>
  <si>
    <t>De acuerdo a reporte de consumo Nov-Dic 2019 de YPF (4,19)</t>
  </si>
  <si>
    <t>USD</t>
  </si>
  <si>
    <t>Lts</t>
  </si>
  <si>
    <t>Item SAP</t>
  </si>
  <si>
    <t>Total</t>
  </si>
  <si>
    <t>Puntos en uso [%]</t>
  </si>
  <si>
    <t>Información de YPF Mgue - 2019 -Mail de Ing. De Procesos Mgue</t>
  </si>
  <si>
    <t>Volumen</t>
  </si>
  <si>
    <t>Venta</t>
  </si>
  <si>
    <t>Promedio mensual</t>
  </si>
  <si>
    <t>Ingreso [USD/mes]</t>
  </si>
  <si>
    <t>Venta [lpmes]</t>
  </si>
  <si>
    <t>Ingreso</t>
  </si>
  <si>
    <t>Ing Ac</t>
  </si>
  <si>
    <t>Venta Ac</t>
  </si>
  <si>
    <t>lpm</t>
  </si>
  <si>
    <t>Orden Por Venta</t>
  </si>
  <si>
    <t>Orden por Ingreso</t>
  </si>
  <si>
    <t>USDpm</t>
  </si>
  <si>
    <t>Ac%</t>
  </si>
  <si>
    <t>Familia Cod BND</t>
  </si>
  <si>
    <t>Distribución de Venta por PQ</t>
  </si>
  <si>
    <t>Distribución por Familia de PQ</t>
  </si>
  <si>
    <t>Ingreso Mensual [USD]</t>
  </si>
  <si>
    <t>Estimación por Tratamientos</t>
  </si>
  <si>
    <t>Estimación con mail de Ing de Procesos - YPF</t>
  </si>
  <si>
    <t>Venta Mensual [lts]</t>
  </si>
  <si>
    <t>Punto</t>
  </si>
  <si>
    <t>COL</t>
  </si>
  <si>
    <t>BAT</t>
  </si>
  <si>
    <t>ING</t>
  </si>
  <si>
    <t xml:space="preserve">TK </t>
  </si>
  <si>
    <t>NCF</t>
  </si>
  <si>
    <t>NAL</t>
  </si>
  <si>
    <t>ALA</t>
  </si>
  <si>
    <t>CF-</t>
  </si>
  <si>
    <t>CAL</t>
  </si>
  <si>
    <t>RAN</t>
  </si>
  <si>
    <t>PTO</t>
  </si>
  <si>
    <t>EMP</t>
  </si>
  <si>
    <t>NMD</t>
  </si>
  <si>
    <t>PIL</t>
  </si>
  <si>
    <t>BOM</t>
  </si>
  <si>
    <t>NLC</t>
  </si>
  <si>
    <t>NPP</t>
  </si>
  <si>
    <t>NLA</t>
  </si>
  <si>
    <t>LA.</t>
  </si>
  <si>
    <t>SAL</t>
  </si>
  <si>
    <t>NCD</t>
  </si>
  <si>
    <t>MdV</t>
  </si>
  <si>
    <t>NLL</t>
  </si>
  <si>
    <t>LL.</t>
  </si>
  <si>
    <t>LL-</t>
  </si>
  <si>
    <t>LVo</t>
  </si>
  <si>
    <t>LDM</t>
  </si>
  <si>
    <t>NLD</t>
  </si>
  <si>
    <t>CFS</t>
  </si>
  <si>
    <t>NRG</t>
  </si>
  <si>
    <t>RG.</t>
  </si>
  <si>
    <t>LR.</t>
  </si>
  <si>
    <t>LR-</t>
  </si>
  <si>
    <t>Colector</t>
  </si>
  <si>
    <t>Bateria</t>
  </si>
  <si>
    <t>Planta</t>
  </si>
  <si>
    <t>Calentador</t>
  </si>
  <si>
    <t>Oleoducto</t>
  </si>
  <si>
    <t>Empalme</t>
  </si>
  <si>
    <t>Pozo</t>
  </si>
  <si>
    <t>Cod Punto</t>
  </si>
  <si>
    <t>Cantidad</t>
  </si>
  <si>
    <t>Punto en Tratamiento</t>
  </si>
  <si>
    <t>Aporte</t>
  </si>
  <si>
    <t>S/D</t>
  </si>
  <si>
    <t>Distribución de PQ en Pozos</t>
  </si>
  <si>
    <t>Puntos</t>
  </si>
  <si>
    <t>d</t>
  </si>
  <si>
    <t>Ingreso Mensual por Punto y Tipo de PQ</t>
  </si>
  <si>
    <t>Acumulado del</t>
  </si>
  <si>
    <t>Estimación General de Ventas</t>
  </si>
  <si>
    <t>Distribución de Ventas por Tipo de Punto Tratado</t>
  </si>
  <si>
    <t>Volumen Mensual [tb]</t>
  </si>
  <si>
    <t>de la Venta Mensual en USD</t>
  </si>
  <si>
    <t>Seleccionar Punto a Detallar en Tabla y Gráfico</t>
  </si>
  <si>
    <t>Distribución de Ventas por Producto</t>
  </si>
  <si>
    <t>Puntos en uso</t>
  </si>
  <si>
    <t>Distribución de Ventas por Tipo de Producto Químico</t>
  </si>
  <si>
    <t>Visualización</t>
  </si>
  <si>
    <t>Venta [USD]</t>
  </si>
  <si>
    <t>Venta Mensual</t>
  </si>
  <si>
    <t>Precio Unitario Promedio [USD/lt]</t>
  </si>
  <si>
    <t>Promedio</t>
  </si>
  <si>
    <t xml:space="preserve">Biomate San 9494 </t>
  </si>
  <si>
    <t xml:space="preserve">Prosolv EB 3417 </t>
  </si>
  <si>
    <t xml:space="preserve">Prosolv si8022 </t>
  </si>
  <si>
    <t xml:space="preserve">Kleen sc 9567 </t>
  </si>
  <si>
    <t xml:space="preserve">PAF 9497 </t>
  </si>
  <si>
    <t xml:space="preserve">Prosolv EB 8290 desemulsinante </t>
  </si>
  <si>
    <t>Prosolv EB 8283 Ruptor</t>
  </si>
  <si>
    <t xml:space="preserve">CDC 9630 </t>
  </si>
  <si>
    <t xml:space="preserve">Experimental 3223 </t>
  </si>
  <si>
    <t>CHAMPION DEFOAMER AF177</t>
  </si>
  <si>
    <t>NALCO DVE48008</t>
  </si>
  <si>
    <t>CHAMPION BACTRON L133</t>
  </si>
  <si>
    <t>NALCO EC6086A</t>
  </si>
  <si>
    <t>EMBR 12601A</t>
  </si>
  <si>
    <t>EMBR 145112A</t>
  </si>
  <si>
    <t>EMBR 17949A</t>
  </si>
  <si>
    <t>EMULSOTRON X8131</t>
  </si>
  <si>
    <t>EMULSOTRON X8134</t>
  </si>
  <si>
    <t>CLEAR2335</t>
  </si>
  <si>
    <t>NALCO EC6129A</t>
  </si>
  <si>
    <t>NALCO EC6019A</t>
  </si>
  <si>
    <t>NALCO EC2434A Ruptor Emuls.</t>
  </si>
  <si>
    <t>EC6395A</t>
  </si>
  <si>
    <t>CHAMPION CORTRON RN 470</t>
  </si>
  <si>
    <t>CHAMPION CORTRON R2533</t>
  </si>
  <si>
    <t>SULFATRON DN155</t>
  </si>
  <si>
    <t>NALCO EC6620A</t>
  </si>
  <si>
    <t>CHAMPION GYPSTRONTA70</t>
  </si>
  <si>
    <t>CHAMPION CORTRONRU312</t>
  </si>
  <si>
    <t xml:space="preserve">Biomate San 9485 </t>
  </si>
  <si>
    <t xml:space="preserve">Endcor occ 9783 </t>
  </si>
  <si>
    <t>Mgue</t>
  </si>
  <si>
    <t>Pablo</t>
  </si>
  <si>
    <t>Venta [lts]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</si>
</sst>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 [$€-2]\ * #,##0.00_ ;_ [$€-2]\ * \-#,##0.00_ ;_ [$€-2]\ * &quot;-&quot;??_ "/>
    <numFmt numFmtId="165" formatCode="_(* #,##0.00_);_(* \(#,##0.00\);_(* &quot;-&quot;??_);_(@_)"/>
    <numFmt numFmtId="166" formatCode="0.0"/>
    <numFmt numFmtId="167" formatCode="#,##0.0"/>
  </numFmts>
  <fonts count="30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0"/>
      <name val="Calibri"/>
      <family val="2"/>
      <scheme val="minor"/>
    </font>
    <font>
      <sz val="10"/>
      <name val="Arial"/>
      <family val="2"/>
    </font>
    <font>
      <b/>
      <sz val="9"/>
      <name val="Arial"/>
      <family val="2"/>
    </font>
    <font>
      <sz val="9"/>
      <name val="Arial"/>
      <family val="2"/>
    </font>
    <font>
      <sz val="11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Arial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7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color theme="0" tint="-4.9989318521683403E-2"/>
      <name val="Calibri"/>
      <family val="2"/>
      <scheme val="minor"/>
    </font>
    <font>
      <b/>
      <sz val="8"/>
      <color theme="1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color theme="0" tint="-0.14999847407452621"/>
      <name val="Calibri"/>
      <family val="2"/>
      <scheme val="minor"/>
    </font>
    <font>
      <b/>
      <sz val="8"/>
      <name val="Calibri"/>
      <family val="2"/>
      <scheme val="minor"/>
    </font>
    <font>
      <sz val="11"/>
      <color theme="0" tint="-0.14999847407452621"/>
      <name val="Calibri"/>
      <family val="2"/>
      <scheme val="minor"/>
    </font>
    <font>
      <sz val="8"/>
      <color theme="0"/>
      <name val="Calibri"/>
      <family val="2"/>
      <scheme val="minor"/>
    </font>
    <font>
      <b/>
      <sz val="11"/>
      <name val="Calibri"/>
      <family val="2"/>
      <scheme val="minor"/>
    </font>
    <font>
      <sz val="12"/>
      <color theme="1"/>
      <name val="Aptos"/>
    </font>
    <font>
      <sz val="10"/>
      <color theme="1"/>
      <name val="72 Condensed"/>
      <family val="2"/>
    </font>
    <font>
      <b/>
      <sz val="12"/>
      <color rgb="FFFF0000"/>
      <name val="Aptos"/>
    </font>
    <font>
      <sz val="9"/>
      <color theme="1"/>
      <name val="Aptos"/>
    </font>
  </fonts>
  <fills count="26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66FF66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D91D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3366FF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0" tint="-0.14999847407452621"/>
        <bgColor indexed="64"/>
      </patternFill>
    </fill>
  </fills>
  <borders count="4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6">
    <xf numFmtId="0" fontId="0" fillId="0" borderId="0"/>
    <xf numFmtId="164" fontId="3" fillId="0" borderId="0" applyFont="0" applyFill="0" applyBorder="0" applyAlignment="0" applyProtection="0"/>
    <xf numFmtId="165" fontId="3" fillId="0" borderId="0" applyFont="0" applyFill="0" applyBorder="0" applyAlignment="0" applyProtection="0"/>
    <xf numFmtId="0" fontId="3" fillId="0" borderId="0"/>
    <xf numFmtId="9" fontId="6" fillId="0" borderId="0" applyFont="0" applyFill="0" applyBorder="0" applyAlignment="0" applyProtection="0"/>
    <xf numFmtId="0" fontId="20" fillId="0" borderId="0" applyNumberFormat="0" applyFill="0" applyBorder="0" applyAlignment="0" applyProtection="0"/>
  </cellStyleXfs>
  <cellXfs count="223">
    <xf numFmtId="0" fontId="0" fillId="0" borderId="0" xfId="0"/>
    <xf numFmtId="0" fontId="0" fillId="0" borderId="0" xfId="0" applyAlignment="1">
      <alignment horizontal="center"/>
    </xf>
    <xf numFmtId="49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49" fontId="2" fillId="0" borderId="0" xfId="0" applyNumberFormat="1" applyFont="1" applyAlignment="1">
      <alignment horizontal="center"/>
    </xf>
    <xf numFmtId="0" fontId="4" fillId="2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/>
    </xf>
    <xf numFmtId="0" fontId="5" fillId="3" borderId="1" xfId="0" applyFont="1" applyFill="1" applyBorder="1" applyAlignment="1">
      <alignment horizontal="center"/>
    </xf>
    <xf numFmtId="0" fontId="5" fillId="3" borderId="1" xfId="0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/>
    </xf>
    <xf numFmtId="0" fontId="5" fillId="3" borderId="1" xfId="0" applyNumberFormat="1" applyFont="1" applyFill="1" applyBorder="1" applyAlignment="1" applyProtection="1">
      <alignment horizontal="center"/>
    </xf>
    <xf numFmtId="0" fontId="5" fillId="3" borderId="1" xfId="0" applyFont="1" applyFill="1" applyBorder="1" applyAlignment="1">
      <alignment horizontal="center" vertical="center"/>
    </xf>
    <xf numFmtId="0" fontId="5" fillId="0" borderId="1" xfId="0" applyNumberFormat="1" applyFont="1" applyFill="1" applyBorder="1" applyAlignment="1" applyProtection="1">
      <alignment horizontal="center" vertical="center"/>
    </xf>
    <xf numFmtId="0" fontId="5" fillId="0" borderId="1" xfId="0" applyNumberFormat="1" applyFont="1" applyFill="1" applyBorder="1" applyAlignment="1" applyProtection="1">
      <alignment horizontal="center"/>
    </xf>
    <xf numFmtId="0" fontId="5" fillId="6" borderId="1" xfId="0" applyFont="1" applyFill="1" applyBorder="1" applyAlignment="1">
      <alignment horizontal="center"/>
    </xf>
    <xf numFmtId="0" fontId="5" fillId="7" borderId="1" xfId="0" applyFont="1" applyFill="1" applyBorder="1" applyAlignment="1">
      <alignment horizontal="center"/>
    </xf>
    <xf numFmtId="0" fontId="5" fillId="8" borderId="1" xfId="0" applyFont="1" applyFill="1" applyBorder="1" applyAlignment="1">
      <alignment horizontal="center"/>
    </xf>
    <xf numFmtId="49" fontId="5" fillId="3" borderId="1" xfId="0" applyNumberFormat="1" applyFont="1" applyFill="1" applyBorder="1" applyAlignment="1">
      <alignment horizontal="center"/>
    </xf>
    <xf numFmtId="0" fontId="5" fillId="9" borderId="1" xfId="0" applyFont="1" applyFill="1" applyBorder="1" applyAlignment="1">
      <alignment horizontal="center"/>
    </xf>
    <xf numFmtId="0" fontId="5" fillId="10" borderId="1" xfId="0" applyFont="1" applyFill="1" applyBorder="1" applyAlignment="1">
      <alignment horizontal="center"/>
    </xf>
    <xf numFmtId="0" fontId="5" fillId="3" borderId="1" xfId="0" applyNumberFormat="1" applyFont="1" applyFill="1" applyBorder="1" applyAlignment="1" applyProtection="1">
      <alignment horizontal="center" vertical="center"/>
    </xf>
    <xf numFmtId="0" fontId="5" fillId="11" borderId="1" xfId="0" applyFont="1" applyFill="1" applyBorder="1" applyAlignment="1">
      <alignment horizontal="center"/>
    </xf>
    <xf numFmtId="0" fontId="5" fillId="12" borderId="1" xfId="0" applyFont="1" applyFill="1" applyBorder="1" applyAlignment="1">
      <alignment horizontal="center"/>
    </xf>
    <xf numFmtId="0" fontId="5" fillId="13" borderId="1" xfId="0" applyFont="1" applyFill="1" applyBorder="1" applyAlignment="1">
      <alignment horizontal="center"/>
    </xf>
    <xf numFmtId="0" fontId="5" fillId="5" borderId="1" xfId="0" applyFont="1" applyFill="1" applyBorder="1" applyAlignment="1">
      <alignment horizontal="center"/>
    </xf>
    <xf numFmtId="0" fontId="5" fillId="14" borderId="1" xfId="0" applyNumberFormat="1" applyFont="1" applyFill="1" applyBorder="1" applyAlignment="1" applyProtection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5" fillId="15" borderId="1" xfId="0" applyFont="1" applyFill="1" applyBorder="1" applyAlignment="1">
      <alignment horizontal="center"/>
    </xf>
    <xf numFmtId="0" fontId="5" fillId="16" borderId="1" xfId="0" applyFont="1" applyFill="1" applyBorder="1" applyAlignment="1">
      <alignment horizontal="center"/>
    </xf>
    <xf numFmtId="0" fontId="5" fillId="17" borderId="1" xfId="0" applyFont="1" applyFill="1" applyBorder="1" applyAlignment="1">
      <alignment horizontal="center"/>
    </xf>
    <xf numFmtId="0" fontId="5" fillId="18" borderId="1" xfId="0" applyFont="1" applyFill="1" applyBorder="1" applyAlignment="1">
      <alignment horizontal="center"/>
    </xf>
    <xf numFmtId="0" fontId="5" fillId="19" borderId="1" xfId="0" applyFont="1" applyFill="1" applyBorder="1" applyAlignment="1">
      <alignment horizontal="center"/>
    </xf>
    <xf numFmtId="0" fontId="5" fillId="20" borderId="1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49" fontId="5" fillId="0" borderId="1" xfId="0" applyNumberFormat="1" applyFont="1" applyBorder="1" applyAlignment="1">
      <alignment horizontal="center"/>
    </xf>
    <xf numFmtId="14" fontId="0" fillId="0" borderId="0" xfId="0" applyNumberFormat="1"/>
    <xf numFmtId="0" fontId="0" fillId="0" borderId="1" xfId="0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7" fillId="0" borderId="1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8" fillId="3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/>
    </xf>
    <xf numFmtId="9" fontId="7" fillId="0" borderId="1" xfId="4" applyFont="1" applyBorder="1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/>
    <xf numFmtId="0" fontId="8" fillId="3" borderId="1" xfId="0" applyFont="1" applyFill="1" applyBorder="1" applyAlignment="1">
      <alignment horizontal="center" vertical="center"/>
    </xf>
    <xf numFmtId="0" fontId="7" fillId="0" borderId="0" xfId="0" applyFont="1" applyBorder="1" applyAlignment="1">
      <alignment horizontal="center"/>
    </xf>
    <xf numFmtId="9" fontId="7" fillId="0" borderId="0" xfId="4" applyFont="1" applyBorder="1" applyAlignment="1">
      <alignment horizontal="center"/>
    </xf>
    <xf numFmtId="0" fontId="7" fillId="0" borderId="0" xfId="0" applyFont="1" applyAlignment="1">
      <alignment horizontal="left"/>
    </xf>
    <xf numFmtId="0" fontId="7" fillId="0" borderId="0" xfId="0" applyFont="1" applyBorder="1" applyAlignment="1">
      <alignment horizontal="left"/>
    </xf>
    <xf numFmtId="2" fontId="5" fillId="3" borderId="1" xfId="0" applyNumberFormat="1" applyFont="1" applyFill="1" applyBorder="1" applyAlignment="1" applyProtection="1">
      <alignment horizontal="center"/>
    </xf>
    <xf numFmtId="0" fontId="0" fillId="0" borderId="0" xfId="0" applyAlignment="1">
      <alignment horizontal="center" vertical="center" wrapText="1"/>
    </xf>
    <xf numFmtId="2" fontId="1" fillId="0" borderId="0" xfId="0" applyNumberFormat="1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0" xfId="0" applyNumberFormat="1" applyFont="1" applyAlignment="1">
      <alignment horizontal="center"/>
    </xf>
    <xf numFmtId="3" fontId="0" fillId="0" borderId="1" xfId="0" applyNumberFormat="1" applyBorder="1" applyAlignment="1">
      <alignment horizontal="center"/>
    </xf>
    <xf numFmtId="0" fontId="13" fillId="0" borderId="0" xfId="0" applyFont="1" applyAlignment="1">
      <alignment horizontal="center"/>
    </xf>
    <xf numFmtId="0" fontId="13" fillId="0" borderId="0" xfId="0" applyFont="1"/>
    <xf numFmtId="0" fontId="13" fillId="16" borderId="0" xfId="0" applyFont="1" applyFill="1"/>
    <xf numFmtId="0" fontId="0" fillId="0" borderId="1" xfId="0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4" fontId="0" fillId="0" borderId="1" xfId="0" applyNumberFormat="1" applyBorder="1" applyAlignment="1">
      <alignment horizontal="center" vertical="center"/>
    </xf>
    <xf numFmtId="0" fontId="16" fillId="21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15" fillId="0" borderId="1" xfId="0" applyFont="1" applyBorder="1"/>
    <xf numFmtId="0" fontId="15" fillId="0" borderId="1" xfId="0" applyFont="1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14" fillId="21" borderId="1" xfId="0" applyFont="1" applyFill="1" applyBorder="1" applyAlignment="1">
      <alignment horizontal="center" vertical="center"/>
    </xf>
    <xf numFmtId="0" fontId="14" fillId="21" borderId="1" xfId="0" applyFont="1" applyFill="1" applyBorder="1" applyAlignment="1">
      <alignment horizontal="center"/>
    </xf>
    <xf numFmtId="3" fontId="0" fillId="0" borderId="1" xfId="0" applyNumberFormat="1" applyBorder="1"/>
    <xf numFmtId="166" fontId="0" fillId="0" borderId="1" xfId="0" applyNumberFormat="1" applyBorder="1" applyAlignment="1">
      <alignment horizontal="center"/>
    </xf>
    <xf numFmtId="9" fontId="7" fillId="0" borderId="0" xfId="4" applyFont="1" applyAlignment="1">
      <alignment horizontal="center"/>
    </xf>
    <xf numFmtId="0" fontId="7" fillId="0" borderId="1" xfId="0" applyFont="1" applyBorder="1" applyAlignment="1">
      <alignment horizontal="center"/>
    </xf>
    <xf numFmtId="0" fontId="7" fillId="0" borderId="1" xfId="0" applyFont="1" applyFill="1" applyBorder="1" applyAlignment="1">
      <alignment horizontal="center" vertical="center" wrapText="1"/>
    </xf>
    <xf numFmtId="9" fontId="7" fillId="0" borderId="1" xfId="4" applyFont="1" applyFill="1" applyBorder="1" applyAlignment="1">
      <alignment horizontal="center" vertical="center" wrapText="1"/>
    </xf>
    <xf numFmtId="9" fontId="7" fillId="0" borderId="0" xfId="4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/>
    </xf>
    <xf numFmtId="3" fontId="7" fillId="0" borderId="1" xfId="0" applyNumberFormat="1" applyFont="1" applyFill="1" applyBorder="1" applyAlignment="1">
      <alignment horizontal="center"/>
    </xf>
    <xf numFmtId="9" fontId="7" fillId="0" borderId="1" xfId="4" applyFont="1" applyFill="1" applyBorder="1" applyAlignment="1">
      <alignment horizontal="center"/>
    </xf>
    <xf numFmtId="9" fontId="7" fillId="0" borderId="1" xfId="0" applyNumberFormat="1" applyFont="1" applyFill="1" applyBorder="1" applyAlignment="1">
      <alignment horizontal="center"/>
    </xf>
    <xf numFmtId="9" fontId="17" fillId="0" borderId="0" xfId="4" applyFont="1" applyFill="1" applyBorder="1" applyAlignment="1">
      <alignment horizontal="center"/>
    </xf>
    <xf numFmtId="3" fontId="7" fillId="0" borderId="1" xfId="0" applyNumberFormat="1" applyFont="1" applyBorder="1" applyAlignment="1">
      <alignment horizontal="center"/>
    </xf>
    <xf numFmtId="9" fontId="7" fillId="0" borderId="1" xfId="4" applyNumberFormat="1" applyFont="1" applyFill="1" applyBorder="1" applyAlignment="1">
      <alignment horizontal="center"/>
    </xf>
    <xf numFmtId="3" fontId="7" fillId="0" borderId="0" xfId="0" applyNumberFormat="1" applyFont="1" applyAlignment="1">
      <alignment horizontal="center"/>
    </xf>
    <xf numFmtId="0" fontId="7" fillId="0" borderId="5" xfId="0" applyFont="1" applyBorder="1" applyAlignment="1">
      <alignment horizontal="left"/>
    </xf>
    <xf numFmtId="0" fontId="7" fillId="0" borderId="1" xfId="0" applyFont="1" applyBorder="1" applyAlignment="1">
      <alignment horizontal="right"/>
    </xf>
    <xf numFmtId="9" fontId="17" fillId="0" borderId="0" xfId="4" applyFont="1" applyAlignment="1">
      <alignment horizontal="right"/>
    </xf>
    <xf numFmtId="0" fontId="17" fillId="0" borderId="0" xfId="0" applyFont="1" applyAlignment="1">
      <alignment horizontal="right"/>
    </xf>
    <xf numFmtId="3" fontId="7" fillId="0" borderId="0" xfId="0" applyNumberFormat="1" applyFont="1" applyBorder="1" applyAlignment="1">
      <alignment horizontal="center"/>
    </xf>
    <xf numFmtId="3" fontId="18" fillId="0" borderId="0" xfId="0" applyNumberFormat="1" applyFont="1" applyAlignment="1">
      <alignment horizontal="center"/>
    </xf>
    <xf numFmtId="0" fontId="18" fillId="0" borderId="0" xfId="0" applyFont="1" applyAlignment="1">
      <alignment horizontal="center"/>
    </xf>
    <xf numFmtId="0" fontId="21" fillId="0" borderId="0" xfId="0" applyFont="1" applyAlignment="1">
      <alignment horizontal="center"/>
    </xf>
    <xf numFmtId="2" fontId="21" fillId="0" borderId="0" xfId="4" applyNumberFormat="1" applyFont="1" applyAlignment="1">
      <alignment horizontal="center"/>
    </xf>
    <xf numFmtId="0" fontId="0" fillId="0" borderId="13" xfId="0" applyBorder="1"/>
    <xf numFmtId="0" fontId="0" fillId="0" borderId="4" xfId="0" applyBorder="1"/>
    <xf numFmtId="0" fontId="0" fillId="0" borderId="10" xfId="0" applyBorder="1"/>
    <xf numFmtId="0" fontId="22" fillId="0" borderId="1" xfId="0" applyFont="1" applyFill="1" applyBorder="1" applyAlignment="1">
      <alignment horizontal="center"/>
    </xf>
    <xf numFmtId="0" fontId="23" fillId="0" borderId="0" xfId="0" applyFont="1"/>
    <xf numFmtId="9" fontId="7" fillId="0" borderId="0" xfId="0" applyNumberFormat="1" applyFont="1" applyBorder="1" applyAlignment="1">
      <alignment horizontal="center"/>
    </xf>
    <xf numFmtId="0" fontId="0" fillId="0" borderId="17" xfId="0" applyBorder="1"/>
    <xf numFmtId="0" fontId="0" fillId="0" borderId="0" xfId="0" applyBorder="1"/>
    <xf numFmtId="0" fontId="0" fillId="0" borderId="18" xfId="0" applyBorder="1"/>
    <xf numFmtId="0" fontId="20" fillId="0" borderId="0" xfId="5" applyBorder="1"/>
    <xf numFmtId="0" fontId="0" fillId="0" borderId="20" xfId="0" applyBorder="1"/>
    <xf numFmtId="0" fontId="0" fillId="0" borderId="21" xfId="0" applyBorder="1"/>
    <xf numFmtId="0" fontId="0" fillId="0" borderId="22" xfId="0" applyBorder="1"/>
    <xf numFmtId="0" fontId="0" fillId="0" borderId="19" xfId="0" applyBorder="1" applyAlignment="1">
      <alignment horizontal="center"/>
    </xf>
    <xf numFmtId="3" fontId="0" fillId="0" borderId="29" xfId="0" applyNumberFormat="1" applyBorder="1" applyAlignment="1">
      <alignment horizontal="center"/>
    </xf>
    <xf numFmtId="3" fontId="0" fillId="0" borderId="31" xfId="0" applyNumberFormat="1" applyBorder="1" applyAlignment="1">
      <alignment horizontal="center"/>
    </xf>
    <xf numFmtId="3" fontId="0" fillId="0" borderId="32" xfId="0" applyNumberFormat="1" applyBorder="1" applyAlignment="1">
      <alignment horizontal="center"/>
    </xf>
    <xf numFmtId="0" fontId="8" fillId="0" borderId="1" xfId="0" applyFont="1" applyFill="1" applyBorder="1" applyAlignment="1">
      <alignment horizontal="center" vertical="center" wrapText="1"/>
    </xf>
    <xf numFmtId="0" fontId="7" fillId="0" borderId="5" xfId="0" applyFont="1" applyFill="1" applyBorder="1" applyAlignment="1">
      <alignment horizontal="left"/>
    </xf>
    <xf numFmtId="0" fontId="7" fillId="0" borderId="0" xfId="0" applyFont="1" applyFill="1" applyBorder="1" applyAlignment="1">
      <alignment horizontal="left"/>
    </xf>
    <xf numFmtId="17" fontId="7" fillId="0" borderId="1" xfId="0" applyNumberFormat="1" applyFont="1" applyFill="1" applyBorder="1" applyAlignment="1">
      <alignment horizontal="center"/>
    </xf>
    <xf numFmtId="0" fontId="24" fillId="21" borderId="1" xfId="0" applyFont="1" applyFill="1" applyBorder="1" applyAlignment="1">
      <alignment horizontal="center" vertical="center" wrapText="1"/>
    </xf>
    <xf numFmtId="0" fontId="24" fillId="21" borderId="5" xfId="0" applyFont="1" applyFill="1" applyBorder="1" applyAlignment="1">
      <alignment horizontal="left" vertical="center" wrapText="1"/>
    </xf>
    <xf numFmtId="0" fontId="8" fillId="3" borderId="0" xfId="0" applyFont="1" applyFill="1" applyBorder="1" applyAlignment="1">
      <alignment horizontal="center" vertical="center" wrapText="1"/>
    </xf>
    <xf numFmtId="0" fontId="1" fillId="0" borderId="35" xfId="5" applyFont="1" applyBorder="1"/>
    <xf numFmtId="0" fontId="14" fillId="23" borderId="1" xfId="0" applyFont="1" applyFill="1" applyBorder="1" applyAlignment="1">
      <alignment horizontal="center"/>
    </xf>
    <xf numFmtId="0" fontId="14" fillId="23" borderId="19" xfId="0" applyFont="1" applyFill="1" applyBorder="1" applyAlignment="1">
      <alignment horizontal="center" vertical="center" wrapText="1"/>
    </xf>
    <xf numFmtId="0" fontId="14" fillId="23" borderId="1" xfId="0" applyFont="1" applyFill="1" applyBorder="1" applyAlignment="1">
      <alignment horizontal="center" vertical="center" wrapText="1"/>
    </xf>
    <xf numFmtId="167" fontId="7" fillId="0" borderId="0" xfId="0" applyNumberFormat="1" applyFont="1" applyAlignment="1">
      <alignment horizontal="center"/>
    </xf>
    <xf numFmtId="0" fontId="14" fillId="0" borderId="17" xfId="0" applyFont="1" applyFill="1" applyBorder="1" applyAlignment="1">
      <alignment horizontal="center"/>
    </xf>
    <xf numFmtId="0" fontId="14" fillId="0" borderId="0" xfId="0" applyFont="1" applyFill="1" applyBorder="1" applyAlignment="1">
      <alignment horizontal="center"/>
    </xf>
    <xf numFmtId="0" fontId="14" fillId="0" borderId="18" xfId="0" applyFont="1" applyFill="1" applyBorder="1" applyAlignment="1">
      <alignment horizontal="center"/>
    </xf>
    <xf numFmtId="0" fontId="1" fillId="0" borderId="0" xfId="0" applyFont="1"/>
    <xf numFmtId="0" fontId="14" fillId="0" borderId="13" xfId="0" applyFont="1" applyFill="1" applyBorder="1" applyAlignment="1">
      <alignment horizontal="center"/>
    </xf>
    <xf numFmtId="0" fontId="0" fillId="0" borderId="0" xfId="0" applyFill="1"/>
    <xf numFmtId="0" fontId="0" fillId="0" borderId="26" xfId="0" applyBorder="1"/>
    <xf numFmtId="0" fontId="0" fillId="0" borderId="33" xfId="0" applyBorder="1"/>
    <xf numFmtId="3" fontId="0" fillId="0" borderId="40" xfId="0" applyNumberFormat="1" applyBorder="1" applyAlignment="1">
      <alignment horizontal="center"/>
    </xf>
    <xf numFmtId="3" fontId="0" fillId="0" borderId="9" xfId="0" applyNumberFormat="1" applyBorder="1" applyAlignment="1">
      <alignment horizontal="center"/>
    </xf>
    <xf numFmtId="17" fontId="14" fillId="22" borderId="30" xfId="0" applyNumberFormat="1" applyFont="1" applyFill="1" applyBorder="1" applyAlignment="1">
      <alignment horizontal="center"/>
    </xf>
    <xf numFmtId="17" fontId="14" fillId="22" borderId="36" xfId="0" applyNumberFormat="1" applyFont="1" applyFill="1" applyBorder="1" applyAlignment="1">
      <alignment horizontal="center"/>
    </xf>
    <xf numFmtId="0" fontId="14" fillId="23" borderId="29" xfId="0" applyFont="1" applyFill="1" applyBorder="1" applyAlignment="1">
      <alignment horizontal="center" vertical="center" wrapText="1"/>
    </xf>
    <xf numFmtId="0" fontId="0" fillId="0" borderId="30" xfId="0" applyBorder="1" applyAlignment="1">
      <alignment horizontal="center"/>
    </xf>
    <xf numFmtId="0" fontId="0" fillId="0" borderId="31" xfId="0" applyBorder="1" applyAlignment="1">
      <alignment horizontal="center"/>
    </xf>
    <xf numFmtId="0" fontId="14" fillId="23" borderId="29" xfId="0" applyFont="1" applyFill="1" applyBorder="1" applyAlignment="1">
      <alignment horizontal="center"/>
    </xf>
    <xf numFmtId="9" fontId="0" fillId="0" borderId="29" xfId="4" applyFont="1" applyBorder="1" applyAlignment="1">
      <alignment horizontal="center"/>
    </xf>
    <xf numFmtId="9" fontId="0" fillId="0" borderId="32" xfId="4" applyFont="1" applyBorder="1" applyAlignment="1">
      <alignment horizontal="center"/>
    </xf>
    <xf numFmtId="9" fontId="7" fillId="0" borderId="0" xfId="4" applyNumberFormat="1" applyFont="1" applyAlignment="1">
      <alignment horizontal="center"/>
    </xf>
    <xf numFmtId="3" fontId="0" fillId="0" borderId="35" xfId="0" applyNumberFormat="1" applyBorder="1" applyAlignment="1">
      <alignment horizontal="center"/>
    </xf>
    <xf numFmtId="0" fontId="1" fillId="25" borderId="34" xfId="5" applyFont="1" applyFill="1" applyBorder="1"/>
    <xf numFmtId="3" fontId="0" fillId="25" borderId="30" xfId="0" applyNumberFormat="1" applyFill="1" applyBorder="1" applyAlignment="1">
      <alignment horizontal="center"/>
    </xf>
    <xf numFmtId="3" fontId="0" fillId="25" borderId="36" xfId="0" applyNumberFormat="1" applyFill="1" applyBorder="1" applyAlignment="1">
      <alignment horizontal="center"/>
    </xf>
    <xf numFmtId="3" fontId="0" fillId="25" borderId="34" xfId="0" applyNumberFormat="1" applyFill="1" applyBorder="1" applyAlignment="1">
      <alignment horizontal="center"/>
    </xf>
    <xf numFmtId="0" fontId="15" fillId="25" borderId="1" xfId="0" applyFont="1" applyFill="1" applyBorder="1" applyAlignment="1">
      <alignment horizontal="center"/>
    </xf>
    <xf numFmtId="0" fontId="26" fillId="0" borderId="1" xfId="0" applyFont="1" applyBorder="1" applyAlignment="1">
      <alignment horizontal="center"/>
    </xf>
    <xf numFmtId="0" fontId="28" fillId="0" borderId="1" xfId="0" applyFont="1" applyBorder="1" applyAlignment="1">
      <alignment horizontal="center"/>
    </xf>
    <xf numFmtId="0" fontId="27" fillId="0" borderId="1" xfId="0" applyFont="1" applyBorder="1" applyAlignment="1">
      <alignment horizontal="center"/>
    </xf>
    <xf numFmtId="0" fontId="29" fillId="0" borderId="1" xfId="0" applyFont="1" applyBorder="1" applyAlignment="1">
      <alignment horizontal="center"/>
    </xf>
    <xf numFmtId="0" fontId="15" fillId="24" borderId="26" xfId="0" applyFont="1" applyFill="1" applyBorder="1" applyAlignment="1">
      <alignment horizontal="center"/>
    </xf>
    <xf numFmtId="0" fontId="15" fillId="24" borderId="4" xfId="0" applyFont="1" applyFill="1" applyBorder="1" applyAlignment="1">
      <alignment horizontal="center"/>
    </xf>
    <xf numFmtId="0" fontId="15" fillId="24" borderId="33" xfId="0" applyFont="1" applyFill="1" applyBorder="1" applyAlignment="1">
      <alignment horizontal="center"/>
    </xf>
    <xf numFmtId="0" fontId="14" fillId="23" borderId="14" xfId="0" applyFont="1" applyFill="1" applyBorder="1" applyAlignment="1">
      <alignment horizontal="center"/>
    </xf>
    <xf numFmtId="0" fontId="14" fillId="23" borderId="15" xfId="0" applyFont="1" applyFill="1" applyBorder="1" applyAlignment="1">
      <alignment horizontal="center"/>
    </xf>
    <xf numFmtId="0" fontId="14" fillId="23" borderId="16" xfId="0" applyFont="1" applyFill="1" applyBorder="1" applyAlignment="1">
      <alignment horizontal="center"/>
    </xf>
    <xf numFmtId="0" fontId="14" fillId="21" borderId="23" xfId="0" applyFont="1" applyFill="1" applyBorder="1" applyAlignment="1">
      <alignment horizontal="center"/>
    </xf>
    <xf numFmtId="0" fontId="14" fillId="21" borderId="24" xfId="0" applyFont="1" applyFill="1" applyBorder="1" applyAlignment="1">
      <alignment horizontal="center"/>
    </xf>
    <xf numFmtId="0" fontId="14" fillId="21" borderId="25" xfId="0" applyFont="1" applyFill="1" applyBorder="1" applyAlignment="1">
      <alignment horizontal="center"/>
    </xf>
    <xf numFmtId="0" fontId="14" fillId="21" borderId="14" xfId="0" applyFont="1" applyFill="1" applyBorder="1" applyAlignment="1">
      <alignment horizontal="center"/>
    </xf>
    <xf numFmtId="0" fontId="14" fillId="21" borderId="15" xfId="0" applyFont="1" applyFill="1" applyBorder="1" applyAlignment="1">
      <alignment horizontal="center"/>
    </xf>
    <xf numFmtId="0" fontId="14" fillId="21" borderId="16" xfId="0" applyFont="1" applyFill="1" applyBorder="1" applyAlignment="1">
      <alignment horizontal="center"/>
    </xf>
    <xf numFmtId="0" fontId="14" fillId="21" borderId="20" xfId="0" applyFont="1" applyFill="1" applyBorder="1" applyAlignment="1">
      <alignment horizontal="center"/>
    </xf>
    <xf numFmtId="0" fontId="14" fillId="21" borderId="21" xfId="0" applyFont="1" applyFill="1" applyBorder="1" applyAlignment="1">
      <alignment horizontal="center"/>
    </xf>
    <xf numFmtId="0" fontId="14" fillId="21" borderId="22" xfId="0" applyFont="1" applyFill="1" applyBorder="1" applyAlignment="1">
      <alignment horizontal="center"/>
    </xf>
    <xf numFmtId="0" fontId="14" fillId="23" borderId="38" xfId="0" applyFont="1" applyFill="1" applyBorder="1" applyAlignment="1">
      <alignment horizontal="center"/>
    </xf>
    <xf numFmtId="0" fontId="14" fillId="23" borderId="12" xfId="0" applyFont="1" applyFill="1" applyBorder="1" applyAlignment="1">
      <alignment horizontal="center"/>
    </xf>
    <xf numFmtId="0" fontId="25" fillId="24" borderId="5" xfId="0" applyFont="1" applyFill="1" applyBorder="1" applyAlignment="1">
      <alignment horizontal="center"/>
    </xf>
    <xf numFmtId="0" fontId="25" fillId="24" borderId="8" xfId="0" applyFont="1" applyFill="1" applyBorder="1" applyAlignment="1">
      <alignment horizontal="center"/>
    </xf>
    <xf numFmtId="0" fontId="25" fillId="24" borderId="39" xfId="0" applyFont="1" applyFill="1" applyBorder="1" applyAlignment="1">
      <alignment horizontal="center"/>
    </xf>
    <xf numFmtId="0" fontId="14" fillId="23" borderId="8" xfId="0" applyFont="1" applyFill="1" applyBorder="1" applyAlignment="1">
      <alignment horizontal="center"/>
    </xf>
    <xf numFmtId="0" fontId="14" fillId="23" borderId="6" xfId="0" applyFont="1" applyFill="1" applyBorder="1" applyAlignment="1">
      <alignment horizontal="center"/>
    </xf>
    <xf numFmtId="0" fontId="25" fillId="24" borderId="12" xfId="0" applyFont="1" applyFill="1" applyBorder="1" applyAlignment="1">
      <alignment horizontal="center"/>
    </xf>
    <xf numFmtId="0" fontId="25" fillId="24" borderId="11" xfId="0" applyFont="1" applyFill="1" applyBorder="1" applyAlignment="1">
      <alignment horizontal="center"/>
    </xf>
    <xf numFmtId="0" fontId="14" fillId="23" borderId="14" xfId="0" applyFont="1" applyFill="1" applyBorder="1" applyAlignment="1">
      <alignment horizontal="center" vertical="center" wrapText="1"/>
    </xf>
    <xf numFmtId="0" fontId="14" fillId="23" borderId="15" xfId="0" applyFont="1" applyFill="1" applyBorder="1" applyAlignment="1">
      <alignment horizontal="center" vertical="center" wrapText="1"/>
    </xf>
    <xf numFmtId="0" fontId="14" fillId="23" borderId="26" xfId="0" applyFont="1" applyFill="1" applyBorder="1" applyAlignment="1">
      <alignment horizontal="center" vertical="center" wrapText="1"/>
    </xf>
    <xf numFmtId="0" fontId="14" fillId="23" borderId="4" xfId="0" applyFont="1" applyFill="1" applyBorder="1" applyAlignment="1">
      <alignment horizontal="center" vertical="center" wrapText="1"/>
    </xf>
    <xf numFmtId="0" fontId="14" fillId="23" borderId="37" xfId="0" applyFont="1" applyFill="1" applyBorder="1" applyAlignment="1">
      <alignment horizontal="center" vertical="center"/>
    </xf>
    <xf numFmtId="0" fontId="14" fillId="23" borderId="19" xfId="0" applyFont="1" applyFill="1" applyBorder="1" applyAlignment="1">
      <alignment horizontal="center" vertical="center"/>
    </xf>
    <xf numFmtId="0" fontId="14" fillId="23" borderId="27" xfId="0" applyFont="1" applyFill="1" applyBorder="1" applyAlignment="1">
      <alignment horizontal="center" vertical="center"/>
    </xf>
    <xf numFmtId="0" fontId="14" fillId="23" borderId="1" xfId="0" applyFont="1" applyFill="1" applyBorder="1" applyAlignment="1">
      <alignment horizontal="center" vertical="center"/>
    </xf>
    <xf numFmtId="0" fontId="14" fillId="23" borderId="37" xfId="0" applyFont="1" applyFill="1" applyBorder="1" applyAlignment="1">
      <alignment horizontal="center" vertical="center" wrapText="1"/>
    </xf>
    <xf numFmtId="0" fontId="14" fillId="23" borderId="28" xfId="0" applyFont="1" applyFill="1" applyBorder="1" applyAlignment="1">
      <alignment horizontal="center" vertical="center" wrapText="1"/>
    </xf>
    <xf numFmtId="0" fontId="14" fillId="23" borderId="19" xfId="0" applyFont="1" applyFill="1" applyBorder="1" applyAlignment="1">
      <alignment horizontal="center" vertical="center" wrapText="1"/>
    </xf>
    <xf numFmtId="0" fontId="14" fillId="23" borderId="29" xfId="0" applyFont="1" applyFill="1" applyBorder="1" applyAlignment="1">
      <alignment horizontal="center" vertical="center" wrapText="1"/>
    </xf>
    <xf numFmtId="0" fontId="14" fillId="23" borderId="30" xfId="0" applyFont="1" applyFill="1" applyBorder="1" applyAlignment="1">
      <alignment horizontal="center" vertical="center" wrapText="1"/>
    </xf>
    <xf numFmtId="0" fontId="14" fillId="23" borderId="32" xfId="0" applyFont="1" applyFill="1" applyBorder="1" applyAlignment="1">
      <alignment horizontal="center" vertical="center" wrapText="1"/>
    </xf>
    <xf numFmtId="3" fontId="0" fillId="0" borderId="40" xfId="0" applyNumberFormat="1" applyBorder="1" applyAlignment="1">
      <alignment horizontal="center"/>
    </xf>
    <xf numFmtId="3" fontId="0" fillId="0" borderId="9" xfId="0" applyNumberFormat="1" applyBorder="1" applyAlignment="1">
      <alignment horizontal="center"/>
    </xf>
    <xf numFmtId="3" fontId="0" fillId="25" borderId="30" xfId="0" applyNumberFormat="1" applyFill="1" applyBorder="1" applyAlignment="1">
      <alignment horizontal="center"/>
    </xf>
    <xf numFmtId="3" fontId="0" fillId="25" borderId="36" xfId="0" applyNumberFormat="1" applyFill="1" applyBorder="1" applyAlignment="1">
      <alignment horizontal="center"/>
    </xf>
    <xf numFmtId="0" fontId="14" fillId="23" borderId="27" xfId="0" applyFont="1" applyFill="1" applyBorder="1" applyAlignment="1">
      <alignment horizontal="center"/>
    </xf>
    <xf numFmtId="0" fontId="14" fillId="23" borderId="28" xfId="0" applyFont="1" applyFill="1" applyBorder="1" applyAlignment="1">
      <alignment horizontal="center"/>
    </xf>
    <xf numFmtId="0" fontId="14" fillId="23" borderId="16" xfId="0" applyFont="1" applyFill="1" applyBorder="1" applyAlignment="1">
      <alignment horizontal="center" vertical="center" wrapText="1"/>
    </xf>
    <xf numFmtId="0" fontId="14" fillId="23" borderId="17" xfId="0" applyFont="1" applyFill="1" applyBorder="1" applyAlignment="1">
      <alignment horizontal="center" vertical="center" wrapText="1"/>
    </xf>
    <xf numFmtId="0" fontId="14" fillId="23" borderId="18" xfId="0" applyFont="1" applyFill="1" applyBorder="1" applyAlignment="1">
      <alignment horizontal="center" vertical="center" wrapText="1"/>
    </xf>
    <xf numFmtId="0" fontId="14" fillId="23" borderId="20" xfId="0" applyFont="1" applyFill="1" applyBorder="1" applyAlignment="1">
      <alignment horizontal="center" vertical="center" wrapText="1"/>
    </xf>
    <xf numFmtId="0" fontId="14" fillId="23" borderId="22" xfId="0" applyFont="1" applyFill="1" applyBorder="1" applyAlignment="1">
      <alignment horizontal="center" vertical="center" wrapText="1"/>
    </xf>
    <xf numFmtId="0" fontId="14" fillId="23" borderId="41" xfId="0" applyFont="1" applyFill="1" applyBorder="1" applyAlignment="1">
      <alignment horizontal="center" vertical="center"/>
    </xf>
    <xf numFmtId="0" fontId="14" fillId="23" borderId="42" xfId="0" applyFont="1" applyFill="1" applyBorder="1" applyAlignment="1">
      <alignment horizontal="center" vertical="center"/>
    </xf>
    <xf numFmtId="2" fontId="0" fillId="0" borderId="14" xfId="0" applyNumberFormat="1" applyBorder="1" applyAlignment="1">
      <alignment horizontal="center" vertical="center"/>
    </xf>
    <xf numFmtId="2" fontId="0" fillId="0" borderId="16" xfId="0" applyNumberFormat="1" applyBorder="1" applyAlignment="1">
      <alignment horizontal="center" vertical="center"/>
    </xf>
    <xf numFmtId="2" fontId="0" fillId="0" borderId="20" xfId="0" applyNumberFormat="1" applyBorder="1" applyAlignment="1">
      <alignment horizontal="center" vertical="center"/>
    </xf>
    <xf numFmtId="2" fontId="0" fillId="0" borderId="22" xfId="0" applyNumberFormat="1" applyBorder="1" applyAlignment="1">
      <alignment horizontal="center" vertical="center"/>
    </xf>
    <xf numFmtId="0" fontId="14" fillId="21" borderId="4" xfId="0" applyFont="1" applyFill="1" applyBorder="1" applyAlignment="1">
      <alignment horizontal="center"/>
    </xf>
    <xf numFmtId="17" fontId="14" fillId="21" borderId="1" xfId="0" applyNumberFormat="1" applyFont="1" applyFill="1" applyBorder="1" applyAlignment="1">
      <alignment horizontal="center"/>
    </xf>
    <xf numFmtId="0" fontId="14" fillId="21" borderId="1" xfId="0" applyFont="1" applyFill="1" applyBorder="1" applyAlignment="1">
      <alignment horizontal="center"/>
    </xf>
    <xf numFmtId="0" fontId="14" fillId="21" borderId="1" xfId="0" applyFont="1" applyFill="1" applyBorder="1" applyAlignment="1">
      <alignment horizontal="center" vertical="center"/>
    </xf>
    <xf numFmtId="17" fontId="16" fillId="21" borderId="1" xfId="0" applyNumberFormat="1" applyFont="1" applyFill="1" applyBorder="1" applyAlignment="1">
      <alignment horizontal="center" vertical="center"/>
    </xf>
    <xf numFmtId="0" fontId="16" fillId="21" borderId="1" xfId="0" applyFont="1" applyFill="1" applyBorder="1" applyAlignment="1">
      <alignment horizontal="center" vertical="center"/>
    </xf>
    <xf numFmtId="0" fontId="16" fillId="21" borderId="2" xfId="0" applyFont="1" applyFill="1" applyBorder="1" applyAlignment="1">
      <alignment horizontal="center" vertical="center" wrapText="1"/>
    </xf>
    <xf numFmtId="0" fontId="16" fillId="21" borderId="3" xfId="0" applyFont="1" applyFill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19" fillId="21" borderId="0" xfId="0" applyFont="1" applyFill="1" applyAlignment="1">
      <alignment horizontal="center" vertical="center"/>
    </xf>
    <xf numFmtId="0" fontId="7" fillId="0" borderId="5" xfId="0" applyFont="1" applyBorder="1" applyAlignment="1">
      <alignment horizontal="center"/>
    </xf>
    <xf numFmtId="0" fontId="7" fillId="0" borderId="8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7" fillId="0" borderId="1" xfId="0" applyFont="1" applyBorder="1" applyAlignment="1">
      <alignment horizontal="center"/>
    </xf>
  </cellXfs>
  <cellStyles count="6">
    <cellStyle name="Euro" xfId="1" xr:uid="{00000000-0005-0000-0000-000000000000}"/>
    <cellStyle name="Hipervínculo" xfId="5" builtinId="8"/>
    <cellStyle name="Millares 2" xfId="2" xr:uid="{00000000-0005-0000-0000-000002000000}"/>
    <cellStyle name="Normal" xfId="0" builtinId="0"/>
    <cellStyle name="Normal 2" xfId="3" xr:uid="{00000000-0005-0000-0000-000004000000}"/>
    <cellStyle name="Porcentaje" xfId="4" builtinId="5"/>
  </cellStyles>
  <dxfs count="150"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  <dxf>
      <font>
        <color theme="0"/>
      </font>
    </dxf>
    <dxf>
      <font>
        <color theme="1"/>
      </font>
      <fill>
        <patternFill>
          <bgColor theme="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1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Análisis!$Y$91</c:f>
          <c:strCache>
            <c:ptCount val="1"/>
            <c:pt idx="0">
              <c:v>Ingreso Mensual por Punto y Tipo de PQ                                                      Acumulado del  100%  de la Venta Mensual en USD</c:v>
            </c:pt>
          </c:strCache>
        </c:strRef>
      </c:tx>
      <c:layout>
        <c:manualLayout>
          <c:xMode val="edge"/>
          <c:yMode val="edge"/>
          <c:x val="0.23962361742905303"/>
          <c:y val="2.091404042120634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1941911743693023"/>
          <c:y val="0.20955680916415823"/>
          <c:w val="0.77262190178669465"/>
          <c:h val="0.6452640558385716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Análisis!$O$3</c:f>
              <c:strCache>
                <c:ptCount val="1"/>
                <c:pt idx="0">
                  <c:v>USDpm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Análisis!$T$95:$T$101</c:f>
              <c:strCache>
                <c:ptCount val="7"/>
                <c:pt idx="0">
                  <c:v>DP</c:v>
                </c:pt>
                <c:pt idx="1">
                  <c:v>RF</c:v>
                </c:pt>
                <c:pt idx="2">
                  <c:v>IP</c:v>
                </c:pt>
                <c:pt idx="3">
                  <c:v>DB</c:v>
                </c:pt>
                <c:pt idx="4">
                  <c:v>AB</c:v>
                </c:pt>
                <c:pt idx="5">
                  <c:v>HS</c:v>
                </c:pt>
                <c:pt idx="6">
                  <c:v>IC</c:v>
                </c:pt>
              </c:strCache>
            </c:strRef>
          </c:cat>
          <c:val>
            <c:numRef>
              <c:f>Análisis!$V$95:$V$101</c:f>
              <c:numCache>
                <c:formatCode>#,##0</c:formatCode>
                <c:ptCount val="7"/>
                <c:pt idx="0">
                  <c:v>17971.862700000001</c:v>
                </c:pt>
                <c:pt idx="1">
                  <c:v>13895.8</c:v>
                </c:pt>
                <c:pt idx="2">
                  <c:v>8942.3559999999998</c:v>
                </c:pt>
                <c:pt idx="3">
                  <c:v>7913.4941579250008</c:v>
                </c:pt>
                <c:pt idx="4">
                  <c:v>7390.3089049999999</c:v>
                </c:pt>
                <c:pt idx="5">
                  <c:v>654.72023688750005</c:v>
                </c:pt>
                <c:pt idx="6">
                  <c:v>165.75847200000004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D1-4ABD-BBD2-DBD77E75C15C}"/>
            </c:ext>
          </c:extLst>
        </c:ser>
        <c:ser>
          <c:idx val="0"/>
          <c:order val="1"/>
          <c:tx>
            <c:strRef>
              <c:f>Análisis!$W$94</c:f>
              <c:strCache>
                <c:ptCount val="1"/>
                <c:pt idx="0">
                  <c:v>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Análisis!$T$95:$T$101</c:f>
              <c:strCache>
                <c:ptCount val="7"/>
                <c:pt idx="0">
                  <c:v>DP</c:v>
                </c:pt>
                <c:pt idx="1">
                  <c:v>RF</c:v>
                </c:pt>
                <c:pt idx="2">
                  <c:v>IP</c:v>
                </c:pt>
                <c:pt idx="3">
                  <c:v>DB</c:v>
                </c:pt>
                <c:pt idx="4">
                  <c:v>AB</c:v>
                </c:pt>
                <c:pt idx="5">
                  <c:v>HS</c:v>
                </c:pt>
                <c:pt idx="6">
                  <c:v>IC</c:v>
                </c:pt>
              </c:strCache>
            </c:strRef>
          </c:cat>
          <c:val>
            <c:numRef>
              <c:f>Análisis!$W$95:$W$101</c:f>
              <c:numCache>
                <c:formatCode>General</c:formatCode>
                <c:ptCount val="7"/>
              </c:numCache>
            </c:numRef>
          </c:val>
          <c:extLst>
            <c:ext xmlns:c16="http://schemas.microsoft.com/office/drawing/2014/chart" uri="{C3380CC4-5D6E-409C-BE32-E72D297353CC}">
              <c16:uniqueId val="{00000001-FCD1-4ABD-BBD2-DBD77E75C15C}"/>
            </c:ext>
          </c:extLst>
        </c:ser>
        <c:ser>
          <c:idx val="2"/>
          <c:order val="2"/>
          <c:tx>
            <c:strRef>
              <c:f>Análisis!$X$94</c:f>
              <c:strCache>
                <c:ptCount val="1"/>
                <c:pt idx="0">
                  <c:v>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Análisis!$T$95:$T$101</c:f>
              <c:strCache>
                <c:ptCount val="7"/>
                <c:pt idx="0">
                  <c:v>DP</c:v>
                </c:pt>
                <c:pt idx="1">
                  <c:v>RF</c:v>
                </c:pt>
                <c:pt idx="2">
                  <c:v>IP</c:v>
                </c:pt>
                <c:pt idx="3">
                  <c:v>DB</c:v>
                </c:pt>
                <c:pt idx="4">
                  <c:v>AB</c:v>
                </c:pt>
                <c:pt idx="5">
                  <c:v>HS</c:v>
                </c:pt>
                <c:pt idx="6">
                  <c:v>IC</c:v>
                </c:pt>
              </c:strCache>
            </c:strRef>
          </c:cat>
          <c:val>
            <c:numRef>
              <c:f>Análisis!$X$95:$X$101</c:f>
              <c:numCache>
                <c:formatCode>General</c:formatCode>
                <c:ptCount val="7"/>
              </c:numCache>
            </c:numRef>
          </c:val>
          <c:extLst>
            <c:ext xmlns:c16="http://schemas.microsoft.com/office/drawing/2014/chart" uri="{C3380CC4-5D6E-409C-BE32-E72D297353CC}">
              <c16:uniqueId val="{00000002-FCD1-4ABD-BBD2-DBD77E75C1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2"/>
        <c:overlap val="-80"/>
        <c:axId val="300422632"/>
        <c:axId val="300418368"/>
      </c:barChart>
      <c:barChart>
        <c:barDir val="col"/>
        <c:grouping val="clustered"/>
        <c:varyColors val="0"/>
        <c:ser>
          <c:idx val="3"/>
          <c:order val="3"/>
          <c:tx>
            <c:strRef>
              <c:f>Análisis!$U$94</c:f>
              <c:strCache>
                <c:ptCount val="1"/>
                <c:pt idx="0">
                  <c:v>Puntos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numFmt formatCode="0;0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Análisis!$T$95:$T$101</c:f>
              <c:strCache>
                <c:ptCount val="7"/>
                <c:pt idx="0">
                  <c:v>DP</c:v>
                </c:pt>
                <c:pt idx="1">
                  <c:v>RF</c:v>
                </c:pt>
                <c:pt idx="2">
                  <c:v>IP</c:v>
                </c:pt>
                <c:pt idx="3">
                  <c:v>DB</c:v>
                </c:pt>
                <c:pt idx="4">
                  <c:v>AB</c:v>
                </c:pt>
                <c:pt idx="5">
                  <c:v>HS</c:v>
                </c:pt>
                <c:pt idx="6">
                  <c:v>IC</c:v>
                </c:pt>
              </c:strCache>
            </c:strRef>
          </c:cat>
          <c:val>
            <c:numRef>
              <c:f>Análisis!$U$95:$U$101</c:f>
              <c:numCache>
                <c:formatCode>General</c:formatCode>
                <c:ptCount val="7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15</c:v>
                </c:pt>
                <c:pt idx="4">
                  <c:v>3</c:v>
                </c:pt>
                <c:pt idx="5">
                  <c:v>1</c:v>
                </c:pt>
                <c:pt idx="6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CD1-4ABD-BBD2-DBD77E75C1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86"/>
        <c:overlap val="-36"/>
        <c:axId val="287445664"/>
        <c:axId val="286180032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Tipo de PQ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Ingreso [KUSD/mes]</a:t>
                </a:r>
              </a:p>
            </c:rich>
          </c:tx>
          <c:layout>
            <c:manualLayout>
              <c:xMode val="edge"/>
              <c:yMode val="edge"/>
              <c:x val="8.0725762906119925E-3"/>
              <c:y val="0.3694315900500472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.##0;\-#.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  <c:dispUnits>
          <c:builtInUnit val="thousands"/>
        </c:dispUnits>
      </c:valAx>
      <c:valAx>
        <c:axId val="28618003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Cantidad de Puntos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287445664"/>
        <c:crosses val="max"/>
        <c:crossBetween val="between"/>
      </c:valAx>
      <c:catAx>
        <c:axId val="28744566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8618003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35515425075091106"/>
          <c:y val="0.15709076230768465"/>
          <c:w val="0.36216945999076494"/>
          <c:h val="7.500893188133088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b="1"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Análisis!$Y$91</c:f>
          <c:strCache>
            <c:ptCount val="1"/>
            <c:pt idx="0">
              <c:v>Ingreso Mensual por Punto y Tipo de PQ                                                      Acumulado del  100%  de la Venta Mensual en USD</c:v>
            </c:pt>
          </c:strCache>
        </c:strRef>
      </c:tx>
      <c:layout>
        <c:manualLayout>
          <c:xMode val="edge"/>
          <c:yMode val="edge"/>
          <c:x val="0.19465781466446269"/>
          <c:y val="8.1242537441135135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1941911743693023"/>
          <c:y val="0.20955680916415823"/>
          <c:w val="0.77262190178669465"/>
          <c:h val="0.6452640558385716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Análisis!$O$3</c:f>
              <c:strCache>
                <c:ptCount val="1"/>
                <c:pt idx="0">
                  <c:v>USDpm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Análisis!$T$95:$T$101</c:f>
              <c:strCache>
                <c:ptCount val="7"/>
                <c:pt idx="0">
                  <c:v>DP</c:v>
                </c:pt>
                <c:pt idx="1">
                  <c:v>RF</c:v>
                </c:pt>
                <c:pt idx="2">
                  <c:v>IP</c:v>
                </c:pt>
                <c:pt idx="3">
                  <c:v>DB</c:v>
                </c:pt>
                <c:pt idx="4">
                  <c:v>AB</c:v>
                </c:pt>
                <c:pt idx="5">
                  <c:v>HS</c:v>
                </c:pt>
                <c:pt idx="6">
                  <c:v>IC</c:v>
                </c:pt>
              </c:strCache>
            </c:strRef>
          </c:cat>
          <c:val>
            <c:numRef>
              <c:f>Análisis!$V$95:$V$101</c:f>
              <c:numCache>
                <c:formatCode>#,##0</c:formatCode>
                <c:ptCount val="7"/>
                <c:pt idx="0">
                  <c:v>17971.862700000001</c:v>
                </c:pt>
                <c:pt idx="1">
                  <c:v>13895.8</c:v>
                </c:pt>
                <c:pt idx="2">
                  <c:v>8942.3559999999998</c:v>
                </c:pt>
                <c:pt idx="3">
                  <c:v>7913.4941579250008</c:v>
                </c:pt>
                <c:pt idx="4">
                  <c:v>7390.3089049999999</c:v>
                </c:pt>
                <c:pt idx="5">
                  <c:v>654.72023688750005</c:v>
                </c:pt>
                <c:pt idx="6">
                  <c:v>165.75847200000004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04-470F-BE63-E7AFDDA55333}"/>
            </c:ext>
          </c:extLst>
        </c:ser>
        <c:ser>
          <c:idx val="0"/>
          <c:order val="1"/>
          <c:tx>
            <c:strRef>
              <c:f>Análisis!$W$94</c:f>
              <c:strCache>
                <c:ptCount val="1"/>
                <c:pt idx="0">
                  <c:v>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Análisis!$T$95:$T$101</c:f>
              <c:strCache>
                <c:ptCount val="7"/>
                <c:pt idx="0">
                  <c:v>DP</c:v>
                </c:pt>
                <c:pt idx="1">
                  <c:v>RF</c:v>
                </c:pt>
                <c:pt idx="2">
                  <c:v>IP</c:v>
                </c:pt>
                <c:pt idx="3">
                  <c:v>DB</c:v>
                </c:pt>
                <c:pt idx="4">
                  <c:v>AB</c:v>
                </c:pt>
                <c:pt idx="5">
                  <c:v>HS</c:v>
                </c:pt>
                <c:pt idx="6">
                  <c:v>IC</c:v>
                </c:pt>
              </c:strCache>
            </c:strRef>
          </c:cat>
          <c:val>
            <c:numRef>
              <c:f>Análisis!$W$95:$W$101</c:f>
              <c:numCache>
                <c:formatCode>General</c:formatCode>
                <c:ptCount val="7"/>
              </c:numCache>
            </c:numRef>
          </c:val>
          <c:extLst>
            <c:ext xmlns:c16="http://schemas.microsoft.com/office/drawing/2014/chart" uri="{C3380CC4-5D6E-409C-BE32-E72D297353CC}">
              <c16:uniqueId val="{00000001-B604-470F-BE63-E7AFDDA55333}"/>
            </c:ext>
          </c:extLst>
        </c:ser>
        <c:ser>
          <c:idx val="2"/>
          <c:order val="2"/>
          <c:tx>
            <c:strRef>
              <c:f>Análisis!$X$94</c:f>
              <c:strCache>
                <c:ptCount val="1"/>
                <c:pt idx="0">
                  <c:v>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Análisis!$T$95:$T$101</c:f>
              <c:strCache>
                <c:ptCount val="7"/>
                <c:pt idx="0">
                  <c:v>DP</c:v>
                </c:pt>
                <c:pt idx="1">
                  <c:v>RF</c:v>
                </c:pt>
                <c:pt idx="2">
                  <c:v>IP</c:v>
                </c:pt>
                <c:pt idx="3">
                  <c:v>DB</c:v>
                </c:pt>
                <c:pt idx="4">
                  <c:v>AB</c:v>
                </c:pt>
                <c:pt idx="5">
                  <c:v>HS</c:v>
                </c:pt>
                <c:pt idx="6">
                  <c:v>IC</c:v>
                </c:pt>
              </c:strCache>
            </c:strRef>
          </c:cat>
          <c:val>
            <c:numRef>
              <c:f>Análisis!$X$95:$X$101</c:f>
              <c:numCache>
                <c:formatCode>General</c:formatCode>
                <c:ptCount val="7"/>
              </c:numCache>
            </c:numRef>
          </c:val>
          <c:extLst>
            <c:ext xmlns:c16="http://schemas.microsoft.com/office/drawing/2014/chart" uri="{C3380CC4-5D6E-409C-BE32-E72D297353CC}">
              <c16:uniqueId val="{00000002-B604-470F-BE63-E7AFDDA553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2"/>
        <c:overlap val="-80"/>
        <c:axId val="300422632"/>
        <c:axId val="300418368"/>
      </c:barChart>
      <c:barChart>
        <c:barDir val="col"/>
        <c:grouping val="clustered"/>
        <c:varyColors val="0"/>
        <c:ser>
          <c:idx val="3"/>
          <c:order val="3"/>
          <c:tx>
            <c:strRef>
              <c:f>Análisis!$U$94</c:f>
              <c:strCache>
                <c:ptCount val="1"/>
                <c:pt idx="0">
                  <c:v>Puntos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Análisis!$T$95:$T$101</c:f>
              <c:strCache>
                <c:ptCount val="7"/>
                <c:pt idx="0">
                  <c:v>DP</c:v>
                </c:pt>
                <c:pt idx="1">
                  <c:v>RF</c:v>
                </c:pt>
                <c:pt idx="2">
                  <c:v>IP</c:v>
                </c:pt>
                <c:pt idx="3">
                  <c:v>DB</c:v>
                </c:pt>
                <c:pt idx="4">
                  <c:v>AB</c:v>
                </c:pt>
                <c:pt idx="5">
                  <c:v>HS</c:v>
                </c:pt>
                <c:pt idx="6">
                  <c:v>IC</c:v>
                </c:pt>
              </c:strCache>
            </c:strRef>
          </c:cat>
          <c:val>
            <c:numRef>
              <c:f>Análisis!$U$95:$U$101</c:f>
              <c:numCache>
                <c:formatCode>General</c:formatCode>
                <c:ptCount val="7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15</c:v>
                </c:pt>
                <c:pt idx="4">
                  <c:v>3</c:v>
                </c:pt>
                <c:pt idx="5">
                  <c:v>1</c:v>
                </c:pt>
                <c:pt idx="6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604-470F-BE63-E7AFDDA553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86"/>
        <c:overlap val="-36"/>
        <c:axId val="287445664"/>
        <c:axId val="286180032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Tipo de PQ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Ingreso [USD/mes]</a:t>
                </a:r>
              </a:p>
            </c:rich>
          </c:tx>
          <c:layout>
            <c:manualLayout>
              <c:xMode val="edge"/>
              <c:yMode val="edge"/>
              <c:x val="8.0725762906119925E-3"/>
              <c:y val="0.3694315900500472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</c:valAx>
      <c:valAx>
        <c:axId val="28618003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Cantidad de Puntos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287445664"/>
        <c:crosses val="max"/>
        <c:crossBetween val="between"/>
      </c:valAx>
      <c:catAx>
        <c:axId val="28744566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8618003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35515425075091106"/>
          <c:y val="0.15709076230768465"/>
          <c:w val="0.36216945999076494"/>
          <c:h val="7.500893188133088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b="1"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6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AR"/>
              <a:t>Ingreso Mensual por Producto Químico</a:t>
            </a:r>
          </a:p>
          <a:p>
            <a:pPr>
              <a:defRPr/>
            </a:pPr>
            <a:r>
              <a:rPr lang="es-AR"/>
              <a:t>Acumulado de la venta mensual en USD: 83%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6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3080311389647722"/>
          <c:y val="0.13824723948939041"/>
          <c:w val="0.84425357544592627"/>
          <c:h val="0.57035141067246853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Análisis!$O$3</c:f>
              <c:strCache>
                <c:ptCount val="1"/>
                <c:pt idx="0">
                  <c:v>USDpm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Análisis!$N$4:$N$14</c:f>
              <c:strCache>
                <c:ptCount val="11"/>
                <c:pt idx="0">
                  <c:v>CLEAR 2335</c:v>
                </c:pt>
                <c:pt idx="1">
                  <c:v>EC6539A</c:v>
                </c:pt>
                <c:pt idx="2">
                  <c:v>SURFATRON DN-155</c:v>
                </c:pt>
                <c:pt idx="3">
                  <c:v>LA3147A</c:v>
                </c:pt>
                <c:pt idx="4">
                  <c:v>EMBR14512A</c:v>
                </c:pt>
                <c:pt idx="5">
                  <c:v>EC6359A</c:v>
                </c:pt>
                <c:pt idx="6">
                  <c:v>DVE4B003</c:v>
                </c:pt>
                <c:pt idx="7">
                  <c:v>EC2434A</c:v>
                </c:pt>
                <c:pt idx="8">
                  <c:v>CAPTRON 75/ENCAPTRON 95</c:v>
                </c:pt>
                <c:pt idx="9">
                  <c:v>EC3156</c:v>
                </c:pt>
                <c:pt idx="10">
                  <c:v>EMBR12601A</c:v>
                </c:pt>
              </c:strCache>
            </c:strRef>
          </c:cat>
          <c:val>
            <c:numRef>
              <c:f>Análisis!$Z$4:$Z$14</c:f>
              <c:numCache>
                <c:formatCode>#,##0.0</c:formatCode>
                <c:ptCount val="11"/>
                <c:pt idx="0">
                  <c:v>55691.269665</c:v>
                </c:pt>
                <c:pt idx="1">
                  <c:v>44639.165066249996</c:v>
                </c:pt>
                <c:pt idx="2">
                  <c:v>41263.526250000017</c:v>
                </c:pt>
                <c:pt idx="3">
                  <c:v>37112.400000000001</c:v>
                </c:pt>
                <c:pt idx="4">
                  <c:v>31428.168680000002</c:v>
                </c:pt>
                <c:pt idx="5">
                  <c:v>26735.779901999995</c:v>
                </c:pt>
                <c:pt idx="6">
                  <c:v>26167.467375</c:v>
                </c:pt>
                <c:pt idx="7">
                  <c:v>22694.247240000004</c:v>
                </c:pt>
                <c:pt idx="8">
                  <c:v>18323</c:v>
                </c:pt>
                <c:pt idx="9">
                  <c:v>16088.573404999996</c:v>
                </c:pt>
                <c:pt idx="10">
                  <c:v>10002.048000000001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C8-476C-845B-8B0965E7CE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0422632"/>
        <c:axId val="300418368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5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PQ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5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Análisis!$Z$1</c:f>
              <c:strCache>
                <c:ptCount val="1"/>
                <c:pt idx="0">
                  <c:v>Venta [USD]</c:v>
                </c:pt>
              </c:strCache>
            </c:strRef>
          </c:tx>
          <c:layout>
            <c:manualLayout>
              <c:xMode val="edge"/>
              <c:yMode val="edge"/>
              <c:x val="8.0725623582766429E-3"/>
              <c:y val="0.3353589624826308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5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1050"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6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AR"/>
              <a:t>Venta Mensual por Producto Químico</a:t>
            </a:r>
          </a:p>
          <a:p>
            <a:pPr>
              <a:defRPr/>
            </a:pPr>
            <a:r>
              <a:rPr lang="es-AR"/>
              <a:t>Acumulado de la venta mensual en lts: 82%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6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3080311389647722"/>
          <c:y val="0.13553354601506973"/>
          <c:w val="0.84425357544592627"/>
          <c:h val="0.57329408729662534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Análisis!$L$3</c:f>
              <c:strCache>
                <c:ptCount val="1"/>
                <c:pt idx="0">
                  <c:v>lpm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Análisis!$K$4:$K$14</c:f>
              <c:strCache>
                <c:ptCount val="11"/>
                <c:pt idx="0">
                  <c:v>CLEAR 2335</c:v>
                </c:pt>
                <c:pt idx="1">
                  <c:v>EMBR14512A</c:v>
                </c:pt>
                <c:pt idx="2">
                  <c:v>SURFATRON DN-155</c:v>
                </c:pt>
                <c:pt idx="3">
                  <c:v>EC6539A</c:v>
                </c:pt>
                <c:pt idx="4">
                  <c:v>LA3147A</c:v>
                </c:pt>
                <c:pt idx="5">
                  <c:v>EC3156</c:v>
                </c:pt>
                <c:pt idx="6">
                  <c:v>EC6359A</c:v>
                </c:pt>
                <c:pt idx="7">
                  <c:v>DVE4B003</c:v>
                </c:pt>
                <c:pt idx="8">
                  <c:v>GYPTRON TA-416</c:v>
                </c:pt>
                <c:pt idx="9">
                  <c:v>EC2434A</c:v>
                </c:pt>
                <c:pt idx="10">
                  <c:v>EMBR12601A</c:v>
                </c:pt>
              </c:strCache>
            </c:strRef>
          </c:cat>
          <c:val>
            <c:numRef>
              <c:f>Análisis!$AB$4:$AB$14</c:f>
              <c:numCache>
                <c:formatCode>#,##0.0</c:formatCode>
                <c:ptCount val="11"/>
                <c:pt idx="0">
                  <c:v>12714.901750000001</c:v>
                </c:pt>
                <c:pt idx="1">
                  <c:v>9945.6229999999996</c:v>
                </c:pt>
                <c:pt idx="2">
                  <c:v>9709.0650000000005</c:v>
                </c:pt>
                <c:pt idx="3">
                  <c:v>8160.724874999999</c:v>
                </c:pt>
                <c:pt idx="4">
                  <c:v>7320</c:v>
                </c:pt>
                <c:pt idx="5">
                  <c:v>6435.429361999998</c:v>
                </c:pt>
                <c:pt idx="6">
                  <c:v>5558.3742000000002</c:v>
                </c:pt>
                <c:pt idx="7">
                  <c:v>4590.7837499999996</c:v>
                </c:pt>
                <c:pt idx="8">
                  <c:v>4358.9285479999999</c:v>
                </c:pt>
                <c:pt idx="9">
                  <c:v>4171.7366250000005</c:v>
                </c:pt>
                <c:pt idx="10">
                  <c:v>2500.5120000000002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0B-4852-BC50-D3AA11B51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0422632"/>
        <c:axId val="300418368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5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PQ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5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Análisis!$AB$1</c:f>
              <c:strCache>
                <c:ptCount val="1"/>
                <c:pt idx="0">
                  <c:v>Venta [lts]</c:v>
                </c:pt>
              </c:strCache>
            </c:strRef>
          </c:tx>
          <c:layout>
            <c:manualLayout>
              <c:xMode val="edge"/>
              <c:yMode val="edge"/>
              <c:x val="8.0725623582766429E-3"/>
              <c:y val="0.3353589624826308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5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1050"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6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AR"/>
              <a:t>Ingreso Mensual por Tipo de PQ</a:t>
            </a:r>
          </a:p>
          <a:p>
            <a:pPr>
              <a:defRPr/>
            </a:pPr>
            <a:r>
              <a:rPr lang="es-AR"/>
              <a:t>Acumulado de 83% de la venta mensual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6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0366670863402176"/>
          <c:y val="0.16461257165196172"/>
          <c:w val="0.871389889768304"/>
          <c:h val="0.72523085662684883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Análisis!$O$3</c:f>
              <c:strCache>
                <c:ptCount val="1"/>
                <c:pt idx="0">
                  <c:v>USDpm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Análisis!$N$47:$N$53</c:f>
              <c:strCache>
                <c:ptCount val="7"/>
                <c:pt idx="0">
                  <c:v>DB</c:v>
                </c:pt>
                <c:pt idx="1">
                  <c:v>DP</c:v>
                </c:pt>
                <c:pt idx="2">
                  <c:v>IP</c:v>
                </c:pt>
                <c:pt idx="3">
                  <c:v>RF</c:v>
                </c:pt>
                <c:pt idx="4">
                  <c:v>IC</c:v>
                </c:pt>
                <c:pt idx="5">
                  <c:v>BX</c:v>
                </c:pt>
                <c:pt idx="6">
                  <c:v>RT</c:v>
                </c:pt>
              </c:strCache>
            </c:strRef>
          </c:cat>
          <c:val>
            <c:numRef>
              <c:f>Análisis!$Z$47:$Z$53</c:f>
              <c:numCache>
                <c:formatCode>#,##0.0</c:formatCode>
                <c:ptCount val="7"/>
                <c:pt idx="0">
                  <c:v>87077.591114174997</c:v>
                </c:pt>
                <c:pt idx="1">
                  <c:v>56439.269665</c:v>
                </c:pt>
                <c:pt idx="2">
                  <c:v>44639.165066249996</c:v>
                </c:pt>
                <c:pt idx="3">
                  <c:v>43050.97253562502</c:v>
                </c:pt>
                <c:pt idx="4">
                  <c:v>39367.666755453327</c:v>
                </c:pt>
                <c:pt idx="5">
                  <c:v>36085.292985</c:v>
                </c:pt>
                <c:pt idx="6">
                  <c:v>22694.247240000004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5BD-4423-AC04-5E158FBEE6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0422632"/>
        <c:axId val="300418368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5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Familia</a:t>
                </a:r>
              </a:p>
            </c:rich>
          </c:tx>
          <c:layout>
            <c:manualLayout>
              <c:xMode val="edge"/>
              <c:yMode val="edge"/>
              <c:x val="0.48621117501378158"/>
              <c:y val="0.948864639957323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5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Análisis!$Z$44</c:f>
              <c:strCache>
                <c:ptCount val="1"/>
                <c:pt idx="0">
                  <c:v>Venta [USD]</c:v>
                </c:pt>
              </c:strCache>
            </c:strRef>
          </c:tx>
          <c:layout>
            <c:manualLayout>
              <c:xMode val="edge"/>
              <c:yMode val="edge"/>
              <c:x val="1.8102941867762072E-3"/>
              <c:y val="0.3353589228166926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5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1050"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6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AR"/>
              <a:t>Venta Mensual por Tipo de PQ</a:t>
            </a:r>
          </a:p>
          <a:p>
            <a:pPr>
              <a:defRPr/>
            </a:pPr>
            <a:r>
              <a:rPr lang="es-AR"/>
              <a:t>Acumulado de 83% de la venta mensual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6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0936695614012881"/>
          <c:y val="0.15146899408658254"/>
          <c:w val="0.865689883619853"/>
          <c:h val="0.7375811276602473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Análisis!$L$3</c:f>
              <c:strCache>
                <c:ptCount val="1"/>
                <c:pt idx="0">
                  <c:v>lpm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Análisis!$K$47:$K$53</c:f>
              <c:strCache>
                <c:ptCount val="7"/>
                <c:pt idx="0">
                  <c:v>DB</c:v>
                </c:pt>
                <c:pt idx="1">
                  <c:v>DP</c:v>
                </c:pt>
                <c:pt idx="2">
                  <c:v>RF</c:v>
                </c:pt>
                <c:pt idx="3">
                  <c:v>IC</c:v>
                </c:pt>
                <c:pt idx="4">
                  <c:v>IP</c:v>
                </c:pt>
                <c:pt idx="5">
                  <c:v>AB</c:v>
                </c:pt>
                <c:pt idx="6">
                  <c:v>BX</c:v>
                </c:pt>
              </c:strCache>
            </c:strRef>
          </c:cat>
          <c:val>
            <c:numRef>
              <c:f>Análisis!$AB$47:$AB$53</c:f>
              <c:numCache>
                <c:formatCode>#,##0.0</c:formatCode>
                <c:ptCount val="7"/>
                <c:pt idx="0">
                  <c:v>22069.060954499997</c:v>
                </c:pt>
                <c:pt idx="1">
                  <c:v>12914.901750000001</c:v>
                </c:pt>
                <c:pt idx="2">
                  <c:v>10279.792437500002</c:v>
                </c:pt>
                <c:pt idx="3">
                  <c:v>10208.969414666666</c:v>
                </c:pt>
                <c:pt idx="4">
                  <c:v>8160.724874999999</c:v>
                </c:pt>
                <c:pt idx="5">
                  <c:v>6435.429361999998</c:v>
                </c:pt>
                <c:pt idx="6">
                  <c:v>6019.8652499999989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DF7-4819-9692-21EDA0A16E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0422632"/>
        <c:axId val="300418368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5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Familia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5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Análisis!$AB$44</c:f>
              <c:strCache>
                <c:ptCount val="1"/>
                <c:pt idx="0">
                  <c:v>Venta [lts]</c:v>
                </c:pt>
              </c:strCache>
            </c:strRef>
          </c:tx>
          <c:layout>
            <c:manualLayout>
              <c:xMode val="edge"/>
              <c:yMode val="edge"/>
              <c:x val="1.871045189118802E-3"/>
              <c:y val="0.3353588977296966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5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1050"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AR" baseline="0"/>
              <a:t>Ingreso Mensual por Producto Químico</a:t>
            </a:r>
          </a:p>
          <a:p>
            <a:pPr>
              <a:defRPr/>
            </a:pPr>
            <a:r>
              <a:rPr lang="es-AR" sz="1100" baseline="0"/>
              <a:t>Acumulado de la venta mensual en USD: 83%</a:t>
            </a:r>
            <a:endParaRPr lang="es-AR" sz="11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3080311389647722"/>
          <c:y val="0.11612774451097806"/>
          <c:w val="0.84425357544592627"/>
          <c:h val="0.60240264084636475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Análisis!$O$3</c:f>
              <c:strCache>
                <c:ptCount val="1"/>
                <c:pt idx="0">
                  <c:v>USDpm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Análisis!$N$4:$N$14</c:f>
              <c:strCache>
                <c:ptCount val="11"/>
                <c:pt idx="0">
                  <c:v>CLEAR 2335</c:v>
                </c:pt>
                <c:pt idx="1">
                  <c:v>EC6539A</c:v>
                </c:pt>
                <c:pt idx="2">
                  <c:v>SURFATRON DN-155</c:v>
                </c:pt>
                <c:pt idx="3">
                  <c:v>LA3147A</c:v>
                </c:pt>
                <c:pt idx="4">
                  <c:v>EMBR14512A</c:v>
                </c:pt>
                <c:pt idx="5">
                  <c:v>EC6359A</c:v>
                </c:pt>
                <c:pt idx="6">
                  <c:v>DVE4B003</c:v>
                </c:pt>
                <c:pt idx="7">
                  <c:v>EC2434A</c:v>
                </c:pt>
                <c:pt idx="8">
                  <c:v>CAPTRON 75/ENCAPTRON 95</c:v>
                </c:pt>
                <c:pt idx="9">
                  <c:v>EC3156</c:v>
                </c:pt>
                <c:pt idx="10">
                  <c:v>EMBR12601A</c:v>
                </c:pt>
              </c:strCache>
            </c:strRef>
          </c:cat>
          <c:val>
            <c:numRef>
              <c:f>Análisis!$Z$4:$Z$14</c:f>
              <c:numCache>
                <c:formatCode>#,##0.0</c:formatCode>
                <c:ptCount val="11"/>
                <c:pt idx="0">
                  <c:v>55691.269665</c:v>
                </c:pt>
                <c:pt idx="1">
                  <c:v>44639.165066249996</c:v>
                </c:pt>
                <c:pt idx="2">
                  <c:v>41263.526250000017</c:v>
                </c:pt>
                <c:pt idx="3">
                  <c:v>37112.400000000001</c:v>
                </c:pt>
                <c:pt idx="4">
                  <c:v>31428.168680000002</c:v>
                </c:pt>
                <c:pt idx="5">
                  <c:v>26735.779901999995</c:v>
                </c:pt>
                <c:pt idx="6">
                  <c:v>26167.467375</c:v>
                </c:pt>
                <c:pt idx="7">
                  <c:v>22694.247240000004</c:v>
                </c:pt>
                <c:pt idx="8">
                  <c:v>18323</c:v>
                </c:pt>
                <c:pt idx="9">
                  <c:v>16088.573404999996</c:v>
                </c:pt>
                <c:pt idx="10">
                  <c:v>10002.048000000001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D7-4F99-8367-7E32F979C2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0422632"/>
        <c:axId val="300418368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PQ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Análisis!$Z$1</c:f>
              <c:strCache>
                <c:ptCount val="1"/>
                <c:pt idx="0">
                  <c:v>Venta [USD]</c:v>
                </c:pt>
              </c:strCache>
            </c:strRef>
          </c:tx>
          <c:layout>
            <c:manualLayout>
              <c:xMode val="edge"/>
              <c:yMode val="edge"/>
              <c:x val="8.0725623582766429E-3"/>
              <c:y val="0.3353589624826308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5572303462067241"/>
          <c:y val="0.19771205069954487"/>
          <c:w val="0.1969437748852822"/>
          <c:h val="6.736574095902683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AR" baseline="0"/>
              <a:t>Venta Mensual por Producto Químico</a:t>
            </a:r>
          </a:p>
          <a:p>
            <a:pPr>
              <a:defRPr/>
            </a:pPr>
            <a:r>
              <a:rPr lang="es-AR" sz="1100" baseline="0"/>
              <a:t>Acumulado de la venta mensual en lts: 82%</a:t>
            </a:r>
            <a:endParaRPr lang="es-AR" sz="11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3080311389647722"/>
          <c:y val="0.11612774451097806"/>
          <c:w val="0.84425357544592627"/>
          <c:h val="0.60240264084636475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Análisis!$L$3</c:f>
              <c:strCache>
                <c:ptCount val="1"/>
                <c:pt idx="0">
                  <c:v>lpm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Análisis!$K$4:$K$14</c:f>
              <c:strCache>
                <c:ptCount val="11"/>
                <c:pt idx="0">
                  <c:v>CLEAR 2335</c:v>
                </c:pt>
                <c:pt idx="1">
                  <c:v>EMBR14512A</c:v>
                </c:pt>
                <c:pt idx="2">
                  <c:v>SURFATRON DN-155</c:v>
                </c:pt>
                <c:pt idx="3">
                  <c:v>EC6539A</c:v>
                </c:pt>
                <c:pt idx="4">
                  <c:v>LA3147A</c:v>
                </c:pt>
                <c:pt idx="5">
                  <c:v>EC3156</c:v>
                </c:pt>
                <c:pt idx="6">
                  <c:v>EC6359A</c:v>
                </c:pt>
                <c:pt idx="7">
                  <c:v>DVE4B003</c:v>
                </c:pt>
                <c:pt idx="8">
                  <c:v>GYPTRON TA-416</c:v>
                </c:pt>
                <c:pt idx="9">
                  <c:v>EC2434A</c:v>
                </c:pt>
                <c:pt idx="10">
                  <c:v>EMBR12601A</c:v>
                </c:pt>
              </c:strCache>
            </c:strRef>
          </c:cat>
          <c:val>
            <c:numRef>
              <c:f>Análisis!$AB$4:$AB$14</c:f>
              <c:numCache>
                <c:formatCode>#,##0.0</c:formatCode>
                <c:ptCount val="11"/>
                <c:pt idx="0">
                  <c:v>12714.901750000001</c:v>
                </c:pt>
                <c:pt idx="1">
                  <c:v>9945.6229999999996</c:v>
                </c:pt>
                <c:pt idx="2">
                  <c:v>9709.0650000000005</c:v>
                </c:pt>
                <c:pt idx="3">
                  <c:v>8160.724874999999</c:v>
                </c:pt>
                <c:pt idx="4">
                  <c:v>7320</c:v>
                </c:pt>
                <c:pt idx="5">
                  <c:v>6435.429361999998</c:v>
                </c:pt>
                <c:pt idx="6">
                  <c:v>5558.3742000000002</c:v>
                </c:pt>
                <c:pt idx="7">
                  <c:v>4590.7837499999996</c:v>
                </c:pt>
                <c:pt idx="8">
                  <c:v>4358.9285479999999</c:v>
                </c:pt>
                <c:pt idx="9">
                  <c:v>4171.7366250000005</c:v>
                </c:pt>
                <c:pt idx="10">
                  <c:v>2500.5120000000002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0A-4B3D-AD3F-613794E13D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0422632"/>
        <c:axId val="300418368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PQ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Análisis!$AB$1</c:f>
              <c:strCache>
                <c:ptCount val="1"/>
                <c:pt idx="0">
                  <c:v>Venta [lts]</c:v>
                </c:pt>
              </c:strCache>
            </c:strRef>
          </c:tx>
          <c:layout>
            <c:manualLayout>
              <c:xMode val="edge"/>
              <c:yMode val="edge"/>
              <c:x val="8.0725623582766429E-3"/>
              <c:y val="0.3353589624826308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5572303462067241"/>
          <c:y val="0.19771205069954487"/>
          <c:w val="0.1969437748852822"/>
          <c:h val="6.736574095902683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AR" baseline="0"/>
              <a:t>Ingreso Mensual por Tipo de PQ</a:t>
            </a:r>
          </a:p>
          <a:p>
            <a:pPr>
              <a:defRPr/>
            </a:pPr>
            <a:r>
              <a:rPr lang="es-AR" sz="1100" baseline="0"/>
              <a:t>Acumulado de 83% de la venta mensual</a:t>
            </a:r>
            <a:endParaRPr lang="es-AR" sz="11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3080311389647722"/>
          <c:y val="0.11612774451097806"/>
          <c:w val="0.84425357544592627"/>
          <c:h val="0.60240264084636475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Análisis!$O$3</c:f>
              <c:strCache>
                <c:ptCount val="1"/>
                <c:pt idx="0">
                  <c:v>USDpm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Análisis!$N$47:$N$53</c:f>
              <c:strCache>
                <c:ptCount val="7"/>
                <c:pt idx="0">
                  <c:v>DB</c:v>
                </c:pt>
                <c:pt idx="1">
                  <c:v>DP</c:v>
                </c:pt>
                <c:pt idx="2">
                  <c:v>IP</c:v>
                </c:pt>
                <c:pt idx="3">
                  <c:v>RF</c:v>
                </c:pt>
                <c:pt idx="4">
                  <c:v>IC</c:v>
                </c:pt>
                <c:pt idx="5">
                  <c:v>BX</c:v>
                </c:pt>
                <c:pt idx="6">
                  <c:v>RT</c:v>
                </c:pt>
              </c:strCache>
            </c:strRef>
          </c:cat>
          <c:val>
            <c:numRef>
              <c:f>Análisis!$Z$47:$Z$53</c:f>
              <c:numCache>
                <c:formatCode>#,##0.0</c:formatCode>
                <c:ptCount val="7"/>
                <c:pt idx="0">
                  <c:v>87077.591114174997</c:v>
                </c:pt>
                <c:pt idx="1">
                  <c:v>56439.269665</c:v>
                </c:pt>
                <c:pt idx="2">
                  <c:v>44639.165066249996</c:v>
                </c:pt>
                <c:pt idx="3">
                  <c:v>43050.97253562502</c:v>
                </c:pt>
                <c:pt idx="4">
                  <c:v>39367.666755453327</c:v>
                </c:pt>
                <c:pt idx="5">
                  <c:v>36085.292985</c:v>
                </c:pt>
                <c:pt idx="6">
                  <c:v>22694.247240000004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B0-4A18-A244-639FC86263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0422632"/>
        <c:axId val="300418368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PQ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Análisis!$Z$44</c:f>
              <c:strCache>
                <c:ptCount val="1"/>
                <c:pt idx="0">
                  <c:v>Venta [USD]</c:v>
                </c:pt>
              </c:strCache>
            </c:strRef>
          </c:tx>
          <c:layout>
            <c:manualLayout>
              <c:xMode val="edge"/>
              <c:yMode val="edge"/>
              <c:x val="8.0725623582766429E-3"/>
              <c:y val="0.3353589624826308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AR" baseline="0"/>
              <a:t>Venta Mensual por Tipo de PQ</a:t>
            </a:r>
          </a:p>
          <a:p>
            <a:pPr>
              <a:defRPr/>
            </a:pPr>
            <a:r>
              <a:rPr lang="es-AR" sz="1100" baseline="0"/>
              <a:t>Acumulado de 83% de la venta mensual</a:t>
            </a:r>
            <a:endParaRPr lang="es-AR" sz="11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lotArea>
      <c:layout>
        <c:manualLayout>
          <c:layoutTarget val="inner"/>
          <c:xMode val="edge"/>
          <c:yMode val="edge"/>
          <c:x val="0.10936695614012881"/>
          <c:y val="0.11612774451097806"/>
          <c:w val="0.865689883619853"/>
          <c:h val="0.75685818975598351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Análisis!$L$3</c:f>
              <c:strCache>
                <c:ptCount val="1"/>
                <c:pt idx="0">
                  <c:v>lpm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Análisis!$K$47:$K$53</c:f>
              <c:strCache>
                <c:ptCount val="7"/>
                <c:pt idx="0">
                  <c:v>DB</c:v>
                </c:pt>
                <c:pt idx="1">
                  <c:v>DP</c:v>
                </c:pt>
                <c:pt idx="2">
                  <c:v>RF</c:v>
                </c:pt>
                <c:pt idx="3">
                  <c:v>IC</c:v>
                </c:pt>
                <c:pt idx="4">
                  <c:v>IP</c:v>
                </c:pt>
                <c:pt idx="5">
                  <c:v>AB</c:v>
                </c:pt>
                <c:pt idx="6">
                  <c:v>BX</c:v>
                </c:pt>
              </c:strCache>
            </c:strRef>
          </c:cat>
          <c:val>
            <c:numRef>
              <c:f>Análisis!$AB$47:$AB$53</c:f>
              <c:numCache>
                <c:formatCode>#,##0.0</c:formatCode>
                <c:ptCount val="7"/>
                <c:pt idx="0">
                  <c:v>22069.060954499997</c:v>
                </c:pt>
                <c:pt idx="1">
                  <c:v>12914.901750000001</c:v>
                </c:pt>
                <c:pt idx="2">
                  <c:v>10279.792437500002</c:v>
                </c:pt>
                <c:pt idx="3">
                  <c:v>10208.969414666666</c:v>
                </c:pt>
                <c:pt idx="4">
                  <c:v>8160.724874999999</c:v>
                </c:pt>
                <c:pt idx="5">
                  <c:v>6435.429361999998</c:v>
                </c:pt>
                <c:pt idx="6">
                  <c:v>6019.8652499999989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07-4881-A332-F3F0B5693B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0422632"/>
        <c:axId val="300418368"/>
      </c:barChart>
      <c:catAx>
        <c:axId val="3004226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/>
                  <a:t> Familia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18368"/>
        <c:crosses val="autoZero"/>
        <c:auto val="1"/>
        <c:lblAlgn val="ctr"/>
        <c:lblOffset val="100"/>
        <c:noMultiLvlLbl val="0"/>
      </c:catAx>
      <c:valAx>
        <c:axId val="300418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Análisis!$AB$44</c:f>
              <c:strCache>
                <c:ptCount val="1"/>
                <c:pt idx="0">
                  <c:v>Venta [lts]</c:v>
                </c:pt>
              </c:strCache>
            </c:strRef>
          </c:tx>
          <c:layout>
            <c:manualLayout>
              <c:xMode val="edge"/>
              <c:yMode val="edge"/>
              <c:x val="8.0725623582766429E-3"/>
              <c:y val="0.3353589624826308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#,##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300422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5572303462067241"/>
          <c:y val="0.19771205069954487"/>
          <c:w val="0.1969437748852822"/>
          <c:h val="6.736574095902683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47625</xdr:colOff>
      <xdr:row>10</xdr:row>
      <xdr:rowOff>19049</xdr:rowOff>
    </xdr:from>
    <xdr:to>
      <xdr:col>12</xdr:col>
      <xdr:colOff>742950</xdr:colOff>
      <xdr:row>30</xdr:row>
      <xdr:rowOff>19049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54B85C84-8C3E-482D-9287-5F53C9D37F8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47624</xdr:colOff>
      <xdr:row>34</xdr:row>
      <xdr:rowOff>104775</xdr:rowOff>
    </xdr:from>
    <xdr:to>
      <xdr:col>4</xdr:col>
      <xdr:colOff>571499</xdr:colOff>
      <xdr:row>54</xdr:row>
      <xdr:rowOff>152400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8B1C88AE-2F46-4236-B850-21436A7308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19051</xdr:colOff>
      <xdr:row>34</xdr:row>
      <xdr:rowOff>38100</xdr:rowOff>
    </xdr:from>
    <xdr:to>
      <xdr:col>12</xdr:col>
      <xdr:colOff>750095</xdr:colOff>
      <xdr:row>54</xdr:row>
      <xdr:rowOff>154781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B59D0DB0-72E1-4D35-965D-9498D272ED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59531</xdr:colOff>
      <xdr:row>59</xdr:row>
      <xdr:rowOff>0</xdr:rowOff>
    </xdr:from>
    <xdr:to>
      <xdr:col>4</xdr:col>
      <xdr:colOff>726281</xdr:colOff>
      <xdr:row>79</xdr:row>
      <xdr:rowOff>119062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20C3BFE9-91A8-4D04-8B0A-1B29BF9B67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23812</xdr:colOff>
      <xdr:row>59</xdr:row>
      <xdr:rowOff>59531</xdr:rowOff>
    </xdr:from>
    <xdr:to>
      <xdr:col>12</xdr:col>
      <xdr:colOff>714375</xdr:colOff>
      <xdr:row>79</xdr:row>
      <xdr:rowOff>154780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6DC38F85-3759-4FE2-8791-60392C1094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76199</xdr:colOff>
      <xdr:row>2</xdr:row>
      <xdr:rowOff>69056</xdr:rowOff>
    </xdr:from>
    <xdr:to>
      <xdr:col>19</xdr:col>
      <xdr:colOff>645546</xdr:colOff>
      <xdr:row>59</xdr:row>
      <xdr:rowOff>69056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10F1F5B-88EE-4E0A-A039-220167CC20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95" t="18492" r="24515" b="20823"/>
        <a:stretch/>
      </xdr:blipFill>
      <xdr:spPr>
        <a:xfrm>
          <a:off x="1600199" y="316706"/>
          <a:ext cx="13523347" cy="7058025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34</xdr:row>
      <xdr:rowOff>114300</xdr:rowOff>
    </xdr:from>
    <xdr:to>
      <xdr:col>17</xdr:col>
      <xdr:colOff>19050</xdr:colOff>
      <xdr:row>35</xdr:row>
      <xdr:rowOff>76203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19DFE023-8060-40E0-AEBA-EC5AEDD0ED42}"/>
            </a:ext>
          </a:extLst>
        </xdr:cNvPr>
        <xdr:cNvCxnSpPr/>
      </xdr:nvCxnSpPr>
      <xdr:spPr>
        <a:xfrm flipV="1">
          <a:off x="1562100" y="4324350"/>
          <a:ext cx="11410950" cy="85728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57150</xdr:colOff>
      <xdr:row>49</xdr:row>
      <xdr:rowOff>0</xdr:rowOff>
    </xdr:from>
    <xdr:to>
      <xdr:col>17</xdr:col>
      <xdr:colOff>38100</xdr:colOff>
      <xdr:row>49</xdr:row>
      <xdr:rowOff>85728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2A77DD0B-B29D-4EF4-A1EF-CA9E0AD2A075}"/>
            </a:ext>
          </a:extLst>
        </xdr:cNvPr>
        <xdr:cNvCxnSpPr/>
      </xdr:nvCxnSpPr>
      <xdr:spPr>
        <a:xfrm flipV="1">
          <a:off x="1581150" y="6067425"/>
          <a:ext cx="11410950" cy="85728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76200</xdr:colOff>
      <xdr:row>18</xdr:row>
      <xdr:rowOff>38100</xdr:rowOff>
    </xdr:from>
    <xdr:to>
      <xdr:col>13</xdr:col>
      <xdr:colOff>180975</xdr:colOff>
      <xdr:row>54</xdr:row>
      <xdr:rowOff>9525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A591DF5-4783-428E-8620-4034DB235B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4454" t="13543" r="10311" b="25902"/>
        <a:stretch/>
      </xdr:blipFill>
      <xdr:spPr>
        <a:xfrm>
          <a:off x="1600200" y="2266950"/>
          <a:ext cx="8486775" cy="44291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31</xdr:row>
      <xdr:rowOff>76203</xdr:rowOff>
    </xdr:from>
    <xdr:to>
      <xdr:col>13</xdr:col>
      <xdr:colOff>47625</xdr:colOff>
      <xdr:row>32</xdr:row>
      <xdr:rowOff>66675</xdr:rowOff>
    </xdr:to>
    <xdr:cxnSp macro="">
      <xdr:nvCxnSpPr>
        <xdr:cNvPr id="3" name="Conector recto 2">
          <a:extLst>
            <a:ext uri="{FF2B5EF4-FFF2-40B4-BE49-F238E27FC236}">
              <a16:creationId xmlns:a16="http://schemas.microsoft.com/office/drawing/2014/main" id="{A22B91C6-3248-498F-BC7B-8CF3B562CF6E}"/>
            </a:ext>
          </a:extLst>
        </xdr:cNvPr>
        <xdr:cNvCxnSpPr/>
      </xdr:nvCxnSpPr>
      <xdr:spPr>
        <a:xfrm>
          <a:off x="1524000" y="3914778"/>
          <a:ext cx="8429625" cy="114297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47</xdr:row>
      <xdr:rowOff>22225</xdr:rowOff>
    </xdr:from>
    <xdr:to>
      <xdr:col>15</xdr:col>
      <xdr:colOff>581025</xdr:colOff>
      <xdr:row>48</xdr:row>
      <xdr:rowOff>3172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B4A00CA9-EB46-4863-BDF3-9613B0173945}"/>
            </a:ext>
          </a:extLst>
        </xdr:cNvPr>
        <xdr:cNvCxnSpPr/>
      </xdr:nvCxnSpPr>
      <xdr:spPr>
        <a:xfrm>
          <a:off x="1524000" y="5991225"/>
          <a:ext cx="10487025" cy="107947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293717</xdr:colOff>
      <xdr:row>8</xdr:row>
      <xdr:rowOff>104774</xdr:rowOff>
    </xdr:from>
    <xdr:to>
      <xdr:col>10</xdr:col>
      <xdr:colOff>388372</xdr:colOff>
      <xdr:row>19</xdr:row>
      <xdr:rowOff>85724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A2ED9C0-7A30-4AB2-8847-54AE92B8F2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95" t="18492" r="24515" b="20823"/>
        <a:stretch/>
      </xdr:blipFill>
      <xdr:spPr>
        <a:xfrm>
          <a:off x="4827617" y="1828799"/>
          <a:ext cx="4142780" cy="2162175"/>
        </a:xfrm>
        <a:prstGeom prst="rect">
          <a:avLst/>
        </a:prstGeom>
      </xdr:spPr>
    </xdr:pic>
    <xdr:clientData/>
  </xdr:twoCellAnchor>
  <xdr:twoCellAnchor editAs="oneCell">
    <xdr:from>
      <xdr:col>5</xdr:col>
      <xdr:colOff>323849</xdr:colOff>
      <xdr:row>19</xdr:row>
      <xdr:rowOff>112761</xdr:rowOff>
    </xdr:from>
    <xdr:to>
      <xdr:col>10</xdr:col>
      <xdr:colOff>495299</xdr:colOff>
      <xdr:row>31</xdr:row>
      <xdr:rowOff>85725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41E7B68-9916-402E-BDFF-C8B4FACDA4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4454" t="13543" r="10311" b="25902"/>
        <a:stretch/>
      </xdr:blipFill>
      <xdr:spPr>
        <a:xfrm>
          <a:off x="4857749" y="4018011"/>
          <a:ext cx="4219575" cy="225896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190500</xdr:colOff>
      <xdr:row>1</xdr:row>
      <xdr:rowOff>57150</xdr:rowOff>
    </xdr:from>
    <xdr:to>
      <xdr:col>24</xdr:col>
      <xdr:colOff>19050</xdr:colOff>
      <xdr:row>19</xdr:row>
      <xdr:rowOff>28575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54DB0F7-C665-4963-9CB0-8FC808DD1B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190500</xdr:colOff>
      <xdr:row>19</xdr:row>
      <xdr:rowOff>40481</xdr:rowOff>
    </xdr:from>
    <xdr:to>
      <xdr:col>24</xdr:col>
      <xdr:colOff>19050</xdr:colOff>
      <xdr:row>40</xdr:row>
      <xdr:rowOff>135731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B7620BC6-B63D-4843-BCD2-81BDF743BB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121516</xdr:colOff>
      <xdr:row>44</xdr:row>
      <xdr:rowOff>27514</xdr:rowOff>
    </xdr:from>
    <xdr:to>
      <xdr:col>23</xdr:col>
      <xdr:colOff>712066</xdr:colOff>
      <xdr:row>65</xdr:row>
      <xdr:rowOff>127094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A493C69-9C90-4B38-B22F-58A038127B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116416</xdr:colOff>
      <xdr:row>65</xdr:row>
      <xdr:rowOff>31749</xdr:rowOff>
    </xdr:from>
    <xdr:to>
      <xdr:col>23</xdr:col>
      <xdr:colOff>706966</xdr:colOff>
      <xdr:row>86</xdr:row>
      <xdr:rowOff>126999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63CA0C6D-FDC0-4235-B765-FB30C572922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22</xdr:col>
      <xdr:colOff>392206</xdr:colOff>
      <xdr:row>93</xdr:row>
      <xdr:rowOff>44823</xdr:rowOff>
    </xdr:from>
    <xdr:to>
      <xdr:col>27</xdr:col>
      <xdr:colOff>601196</xdr:colOff>
      <xdr:row>111</xdr:row>
      <xdr:rowOff>100852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2C953290-E6FD-481F-B26A-314407EAF5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Bergerat, Juan (Los Perales)" refreshedDate="43934.669808564817" createdVersion="6" refreshedVersion="6" minRefreshableVersion="3" recordCount="482" xr:uid="{00000000-000A-0000-FFFF-FFFF00000000}">
  <cacheSource type="worksheet">
    <worksheetSource ref="A1:O483" sheet="CtrlPozo"/>
  </cacheSource>
  <cacheFields count="15">
    <cacheField name="Nombre Oficial Pozo" numFmtId="0">
      <sharedItems/>
    </cacheField>
    <cacheField name="Nombre Corto Pozo" numFmtId="0">
      <sharedItems/>
    </cacheField>
    <cacheField name="Met Prod" numFmtId="0">
      <sharedItems/>
    </cacheField>
    <cacheField name="Nivel 1" numFmtId="0">
      <sharedItems/>
    </cacheField>
    <cacheField name="Nivel 2" numFmtId="0">
      <sharedItems/>
    </cacheField>
    <cacheField name="Nivel 4" numFmtId="0">
      <sharedItems/>
    </cacheField>
    <cacheField name="Nivel 5" numFmtId="0">
      <sharedItems/>
    </cacheField>
    <cacheField name="Nivel 3" numFmtId="0">
      <sharedItems/>
    </cacheField>
    <cacheField name="Estado" numFmtId="0">
      <sharedItems/>
    </cacheField>
    <cacheField name="Nombre Batería" numFmtId="0">
      <sharedItems count="35">
        <s v="BATERIA CD 1"/>
        <s v="CF2"/>
        <s v="CF1"/>
        <s v="SECUNDARIA C.FORTUNOSO"/>
        <s v="CF3"/>
        <s v="SECUNDARIA LAS"/>
        <s v="LAS1"/>
        <s v="LAS1(LAS23)"/>
        <s v="INYECCIÓN MARG. LAS"/>
        <s v="INYECCIÓN MARG. LCA"/>
        <s v="MDM"/>
        <s v="LCA-1"/>
        <s v="LCA-2"/>
        <s v="LDLM"/>
        <s v="PP"/>
        <s v="INYECCIÓN MARG. MDM"/>
        <s v="MDM(RG28)"/>
        <s v="MDMO(I)"/>
        <s v="AGUA PURGA LDM.(V)"/>
        <s v="INYEC.MARG-PP"/>
        <s v="LCA-4"/>
        <s v="INYEC.MARG-MGS"/>
        <s v="LLAN-BATERIA 3"/>
        <s v="LLAN-BATERIA 1"/>
        <s v="RG"/>
        <s v="LA"/>
        <s v="LLAN-BATERIA 2"/>
        <s v="LLAN-BATERIA 4"/>
        <s v="EST.MDV-X1"/>
        <s v="LLAN-BATERIA 6"/>
        <s v="LLAN-BATERIA 7"/>
        <s v="LA TKS ELEVADOS"/>
        <s v="EST MDVO.x-01"/>
        <s v="EST.MDVS.x-001"/>
        <s v="LLAN.BAT. 2014"/>
      </sharedItems>
    </cacheField>
    <cacheField name="Gas" numFmtId="0">
      <sharedItems containsSemiMixedTypes="0" containsString="0" containsNumber="1" minValue="0" maxValue="49235"/>
    </cacheField>
    <cacheField name="Fecha Efectiva" numFmtId="14">
      <sharedItems containsSemiMixedTypes="0" containsNonDate="0" containsDate="1" containsString="0" minDate="1995-11-13T00:00:00" maxDate="2020-03-20T00:00:00"/>
    </cacheField>
    <cacheField name="Agua" numFmtId="0">
      <sharedItems containsSemiMixedTypes="0" containsString="0" containsNumber="1" minValue="0" maxValue="222.92"/>
    </cacheField>
    <cacheField name="Petroleo" numFmtId="0">
      <sharedItems containsSemiMixedTypes="0" containsString="0" containsNumber="1" minValue="0" maxValue="34.590000000000003"/>
    </cacheField>
    <cacheField name="Bruta" numFmtId="0">
      <sharedItems containsSemiMixedTypes="0" containsString="0" containsNumber="1" minValue="0" maxValue="230.82999999999998" count="386">
        <n v="10.19"/>
        <n v="5.2"/>
        <n v="35.049999999999997"/>
        <n v="20.43"/>
        <n v="0"/>
        <n v="9.27"/>
        <n v="14.360000000000001"/>
        <n v="17.809999999999999"/>
        <n v="5.84"/>
        <n v="2.2599999999999998"/>
        <n v="18.29"/>
        <n v="5.56"/>
        <n v="3.9699999999999998"/>
        <n v="10.93"/>
        <n v="1.08"/>
        <n v="37.74"/>
        <n v="29.94"/>
        <n v="5.5600000000000005"/>
        <n v="6.5600000000000005"/>
        <n v="48.63"/>
        <n v="1.67"/>
        <n v="98.11"/>
        <n v="2.59"/>
        <n v="7.2700000000000005"/>
        <n v="15.24"/>
        <n v="7.3000000000000007"/>
        <n v="1"/>
        <n v="7.08"/>
        <n v="9.07"/>
        <n v="27.16"/>
        <n v="13.709999999999999"/>
        <n v="5.0199999999999996"/>
        <n v="7.15"/>
        <n v="171.54"/>
        <n v="33.33"/>
        <n v="52.98"/>
        <n v="137.01"/>
        <n v="1.65"/>
        <n v="55.300000000000004"/>
        <n v="159.15"/>
        <n v="24.68"/>
        <n v="20.279999999999998"/>
        <n v="41.59"/>
        <n v="66.14"/>
        <n v="170.27"/>
        <n v="74.989999999999995"/>
        <n v="70.739999999999995"/>
        <n v="2.9"/>
        <n v="13.61"/>
        <n v="5.32"/>
        <n v="10.290000000000001"/>
        <n v="4.18"/>
        <n v="46.550000000000004"/>
        <n v="46.56"/>
        <n v="7.42"/>
        <n v="11.040000000000001"/>
        <n v="1.79"/>
        <n v="35.380000000000003"/>
        <n v="14.28"/>
        <n v="4.8999999999999995"/>
        <n v="11.22"/>
        <n v="6.26"/>
        <n v="129.92000000000002"/>
        <n v="25.89"/>
        <n v="0.99"/>
        <n v="0.25"/>
        <n v="1.43"/>
        <n v="0.38"/>
        <n v="1.9600000000000002"/>
        <n v="0.59000000000000008"/>
        <n v="3"/>
        <n v="58.6"/>
        <n v="21.5"/>
        <n v="7.0100000000000007"/>
        <n v="0.97"/>
        <n v="3.0599999999999996"/>
        <n v="3.89"/>
        <n v="2.0299999999999998"/>
        <n v="0.78"/>
        <n v="10.16"/>
        <n v="6.4"/>
        <n v="2.8"/>
        <n v="0.83000000000000007"/>
        <n v="1.56"/>
        <n v="9.1300000000000008"/>
        <n v="2.2200000000000002"/>
        <n v="2.2199999999999998"/>
        <n v="3.13"/>
        <n v="4.1399999999999997"/>
        <n v="17.420000000000002"/>
        <n v="3.42"/>
        <n v="18.149999999999999"/>
        <n v="12"/>
        <n v="193.95000000000002"/>
        <n v="25.25"/>
        <n v="8.31"/>
        <n v="67.27"/>
        <n v="37.980000000000004"/>
        <n v="20.59"/>
        <n v="58"/>
        <n v="39.36"/>
        <n v="44.99"/>
        <n v="2.9400000000000004"/>
        <n v="4.79"/>
        <n v="9.14"/>
        <n v="59.04"/>
        <n v="1.39"/>
        <n v="2.8800000000000003"/>
        <n v="1.07"/>
        <n v="23.759999999999998"/>
        <n v="23.26"/>
        <n v="8"/>
        <n v="2.15"/>
        <n v="18.080000000000002"/>
        <n v="6.86"/>
        <n v="3.84"/>
        <n v="1.97"/>
        <n v="13.920000000000002"/>
        <n v="4.3600000000000003"/>
        <n v="4.8"/>
        <n v="23.84"/>
        <n v="24.16"/>
        <n v="4.54"/>
        <n v="207.48999999999998"/>
        <n v="2.3699999999999997"/>
        <n v="8.41"/>
        <n v="8.39"/>
        <n v="2"/>
        <n v="68.17"/>
        <n v="2.7"/>
        <n v="5.7"/>
        <n v="11.16"/>
        <n v="11.870000000000001"/>
        <n v="1.3800000000000001"/>
        <n v="2.5"/>
        <n v="2.11"/>
        <n v="4.26"/>
        <n v="0.84000000000000008"/>
        <n v="4.83"/>
        <n v="13.399999999999999"/>
        <n v="1.68"/>
        <n v="18.989999999999998"/>
        <n v="24.09"/>
        <n v="15.010000000000002"/>
        <n v="11.99"/>
        <n v="8.44"/>
        <n v="49.73"/>
        <n v="20.6"/>
        <n v="13.49"/>
        <n v="47.97"/>
        <n v="1.3900000000000001"/>
        <n v="1.47"/>
        <n v="7.99"/>
        <n v="36.76"/>
        <n v="34.880000000000003"/>
        <n v="24.5"/>
        <n v="17.29"/>
        <n v="69.990000000000009"/>
        <n v="92.7"/>
        <n v="10.5"/>
        <n v="26.900000000000002"/>
        <n v="36.67"/>
        <n v="215.16"/>
        <n v="169.26999999999998"/>
        <n v="3.04"/>
        <n v="78.72"/>
        <n v="177.23"/>
        <n v="24.599999999999998"/>
        <n v="18.25"/>
        <n v="204.44"/>
        <n v="49.86"/>
        <n v="59.25"/>
        <n v="65.98"/>
        <n v="186.72"/>
        <n v="45.989999999999995"/>
        <n v="14.44"/>
        <n v="25.59"/>
        <n v="37.650000000000006"/>
        <n v="42.010000000000005"/>
        <n v="23.68"/>
        <n v="5.5200000000000005"/>
        <n v="2.35"/>
        <n v="3.71"/>
        <n v="14.75"/>
        <n v="1.6"/>
        <n v="10.48"/>
        <n v="20.75"/>
        <n v="3.9000000000000004"/>
        <n v="12.559999999999999"/>
        <n v="3.1"/>
        <n v="67.17"/>
        <n v="69.11"/>
        <n v="81.95"/>
        <n v="20.46"/>
        <n v="5.26"/>
        <n v="18.600000000000001"/>
        <n v="196.96"/>
        <n v="87"/>
        <n v="168.95"/>
        <n v="76"/>
        <n v="13.3"/>
        <n v="61.419999999999995"/>
        <n v="5.46"/>
        <n v="150.16999999999999"/>
        <n v="6.77"/>
        <n v="45.46"/>
        <n v="39.25"/>
        <n v="55.480000000000004"/>
        <n v="5.04"/>
        <n v="230.82999999999998"/>
        <n v="33.65"/>
        <n v="1.4"/>
        <n v="11.309999999999999"/>
        <n v="13.629999999999999"/>
        <n v="6.1099999999999994"/>
        <n v="18.740000000000002"/>
        <n v="5.22"/>
        <n v="37.080000000000005"/>
        <n v="17.71"/>
        <n v="5.76"/>
        <n v="5.55"/>
        <n v="75.240000000000009"/>
        <n v="5.69"/>
        <n v="82.4"/>
        <n v="12.73"/>
        <n v="44.410000000000004"/>
        <n v="9.24"/>
        <n v="13.809999999999999"/>
        <n v="7.41"/>
        <n v="8.2899999999999991"/>
        <n v="60"/>
        <n v="13.450000000000001"/>
        <n v="8.48"/>
        <n v="28.34"/>
        <n v="92.339999999999989"/>
        <n v="5.36"/>
        <n v="34.049999999999997"/>
        <n v="0.1"/>
        <n v="15"/>
        <n v="6.36"/>
        <n v="42.78"/>
        <n v="23.49"/>
        <n v="4.88"/>
        <n v="56.75"/>
        <n v="28.299999999999997"/>
        <n v="4.1400000000000006"/>
        <n v="16.82"/>
        <n v="6.91"/>
        <n v="9.08"/>
        <n v="9.9999999999999992E-2"/>
        <n v="0.57999999999999996"/>
        <n v="1.49"/>
        <n v="5.9399999999999995"/>
        <n v="22.7"/>
        <n v="7.9500000000000011"/>
        <n v="47.11"/>
        <n v="23.009999999999998"/>
        <n v="83.990000000000009"/>
        <n v="5.54"/>
        <n v="70.86"/>
        <n v="1.04"/>
        <n v="1.77"/>
        <n v="4.3500000000000005"/>
        <n v="0.89"/>
        <n v="30.490000000000002"/>
        <n v="0.48"/>
        <n v="1.26"/>
        <n v="3.54"/>
        <n v="2.52"/>
        <n v="3.8899999999999997"/>
        <n v="123.5"/>
        <n v="2.3199999999999998"/>
        <n v="1.8"/>
        <n v="2.23"/>
        <n v="40"/>
        <n v="6.58"/>
        <n v="175.89"/>
        <n v="3.69"/>
        <n v="38.42"/>
        <n v="2.9800000000000004"/>
        <n v="30.36"/>
        <n v="19.3"/>
        <n v="86.53"/>
        <n v="0.68"/>
        <n v="19.399999999999999"/>
        <n v="50.79"/>
        <n v="75.5"/>
        <n v="22.759999999999998"/>
        <n v="11.219999999999999"/>
        <n v="17.82"/>
        <n v="6.19"/>
        <n v="13.030000000000001"/>
        <n v="12.09"/>
        <n v="9"/>
        <n v="5.12"/>
        <n v="1.1300000000000001"/>
        <n v="4.33"/>
        <n v="0.81"/>
        <n v="7.25"/>
        <n v="5.2799999999999994"/>
        <n v="10.77"/>
        <n v="5.83"/>
        <n v="9.0499999999999989"/>
        <n v="26.62"/>
        <n v="16.84"/>
        <n v="9.4799999999999986"/>
        <n v="4.47"/>
        <n v="2.4300000000000002"/>
        <n v="4.75"/>
        <n v="30.98"/>
        <n v="2.81"/>
        <n v="2.02"/>
        <n v="8.56"/>
        <n v="2.4900000000000002"/>
        <n v="5.03"/>
        <n v="6.59"/>
        <n v="9.8000000000000007"/>
        <n v="0.65"/>
        <n v="0.4"/>
        <n v="47.1"/>
        <n v="5.07"/>
        <n v="0.98"/>
        <n v="4.07"/>
        <n v="7.51"/>
        <n v="5.87"/>
        <n v="16.990000000000002"/>
        <n v="25.5"/>
        <n v="151.69"/>
        <n v="34.65"/>
        <n v="1.98"/>
        <n v="1.7999999999999998"/>
        <n v="1.85"/>
        <n v="4.4099999999999993"/>
        <n v="5.35"/>
        <n v="3.38"/>
        <n v="9.0699999999999985"/>
        <n v="2.89"/>
        <n v="2.8899999999999997"/>
        <n v="3.8699999999999997"/>
        <n v="44.89"/>
        <n v="14.129999999999999"/>
        <n v="26.51"/>
        <n v="48.989999999999995"/>
        <n v="3.91"/>
        <n v="5.85"/>
        <n v="3.81"/>
        <n v="5.92"/>
        <n v="15.14"/>
        <n v="6.54"/>
        <n v="3.5799999999999996"/>
        <n v="5.4"/>
        <n v="5.74"/>
        <n v="7.63"/>
        <n v="43.5"/>
        <n v="52.839999999999996"/>
        <n v="14.830000000000002"/>
        <n v="52.86"/>
        <n v="15.46"/>
        <n v="38.730000000000004"/>
        <n v="25.97"/>
        <n v="15.129999999999999"/>
        <n v="68.7"/>
        <n v="9.5500000000000007"/>
        <n v="13.129999999999999"/>
        <n v="10.3"/>
        <n v="49.629999999999995"/>
        <n v="18.899999999999999"/>
        <n v="57.1"/>
        <n v="88.25"/>
        <n v="6.0600000000000005"/>
        <n v="10.629999999999999"/>
        <n v="13.07"/>
        <n v="10.9"/>
        <n v="4.0999999999999996"/>
        <n v="2.04"/>
        <n v="14.68"/>
        <n v="18.3"/>
        <n v="67.08"/>
        <n v="1.69"/>
        <n v="103.00999999999999"/>
        <n v="178.99"/>
        <n v="14.700000000000001"/>
        <n v="12.969999999999999"/>
        <n v="34.770000000000003"/>
        <n v="22.33"/>
        <n v="22.63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482">
  <r>
    <s v="YPF.Md.NCD.e-3"/>
    <s v="NCD-0003"/>
    <s v="Bombeo Mecánico"/>
    <s v="NORTE"/>
    <s v="OPERACIONES MENDOZA NORTE"/>
    <s v="MGS Zona II"/>
    <s v="CD"/>
    <s v="Malargue"/>
    <s v="Produciendo"/>
    <x v="0"/>
    <n v="7"/>
    <d v="2020-03-08T00:00:00"/>
    <n v="6.43"/>
    <n v="3.76"/>
    <x v="0"/>
  </r>
  <r>
    <s v="YPF.Md.NCF-7"/>
    <s v="NCF-0007"/>
    <s v="Bombeo Mecánico"/>
    <s v="NORTE"/>
    <s v="OPERACIONES MENDOZA NORTE"/>
    <s v="MGS Zona I"/>
    <s v="CF- 01"/>
    <s v="Malargue"/>
    <s v="Produciendo"/>
    <x v="1"/>
    <n v="49235"/>
    <d v="2020-01-15T00:00:00"/>
    <n v="4.63"/>
    <n v="0.56999999999999995"/>
    <x v="1"/>
  </r>
  <r>
    <s v="YPF.Md.NCF.a-8"/>
    <s v="NCF-0008"/>
    <s v="Bombeo Mecánico"/>
    <s v="NORTE"/>
    <s v="OPERACIONES MENDOZA NORTE"/>
    <s v="MGS Zona I"/>
    <s v="CF- 01"/>
    <s v="Malargue"/>
    <s v="Produciendo"/>
    <x v="2"/>
    <n v="175"/>
    <d v="2020-03-09T00:00:00"/>
    <n v="7.08"/>
    <n v="27.97"/>
    <x v="2"/>
  </r>
  <r>
    <s v="YPF.Md.NCF-11"/>
    <s v="NCF-0011"/>
    <s v="Bombeo Mecánico"/>
    <s v="NORTE"/>
    <s v="OPERACIONES MENDOZA NORTE"/>
    <s v="MGS Zona I"/>
    <s v="CF- 01"/>
    <s v="Malargue"/>
    <s v="Produciendo"/>
    <x v="2"/>
    <n v="288"/>
    <d v="2019-12-19T00:00:00"/>
    <n v="10.08"/>
    <n v="10.35"/>
    <x v="3"/>
  </r>
  <r>
    <s v="YPF.Md.NCF-12"/>
    <s v="NCF-0012"/>
    <s v="Inyección"/>
    <s v="NORTE"/>
    <s v="OPERACIONES MENDOZA NORTE"/>
    <s v="MGS Zona I"/>
    <s v="CF- 02"/>
    <s v="Malargue"/>
    <s v="Produciendo"/>
    <x v="3"/>
    <n v="0"/>
    <d v="2019-12-27T00:00:00"/>
    <n v="0"/>
    <n v="0"/>
    <x v="4"/>
  </r>
  <r>
    <s v="YPF.Md.NCF-13"/>
    <s v="NCF-0013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.a-15"/>
    <s v="NCF-15"/>
    <s v="Bombeo Mecánico"/>
    <s v="NORTE"/>
    <s v="OPERACIONES MENDOZA NORTE"/>
    <s v="MGS Zona I"/>
    <s v="CF- 02"/>
    <s v="Malargue"/>
    <s v="Produciendo"/>
    <x v="1"/>
    <n v="10"/>
    <d v="2020-01-04T00:00:00"/>
    <n v="9.18"/>
    <n v="0.09"/>
    <x v="5"/>
  </r>
  <r>
    <s v="YPF.Md.NCF-16"/>
    <s v="NCF-0016"/>
    <s v="Bombeo Mecánico"/>
    <s v="NORTE"/>
    <s v="OPERACIONES MENDOZA NORTE"/>
    <s v="MGS Zona I"/>
    <s v="CF- 01"/>
    <s v="Malargue"/>
    <s v="Produciendo"/>
    <x v="2"/>
    <n v="365"/>
    <d v="2020-03-09T00:00:00"/>
    <n v="2.9"/>
    <n v="11.46"/>
    <x v="6"/>
  </r>
  <r>
    <s v="YPF.Md.NCF-17(I)"/>
    <s v="NCF-0017(I)"/>
    <s v="Inyección"/>
    <s v="NORTE"/>
    <s v="OPERACIONES MENDOZA NORTE"/>
    <s v="MGS Zona I"/>
    <s v="CF- 02"/>
    <s v="Malargue"/>
    <s v="Produciendo"/>
    <x v="3"/>
    <n v="0"/>
    <d v="2019-12-27T00:00:00"/>
    <n v="0"/>
    <n v="0"/>
    <x v="4"/>
  </r>
  <r>
    <s v="YPF.Md.NCF-18"/>
    <s v="NCF-0018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19"/>
    <s v="NCF-19[00]"/>
    <s v="Bombeo Mecánico"/>
    <s v="NORTE"/>
    <s v="OPERACIONES MENDOZA NORTE"/>
    <s v="MGS Zona I"/>
    <s v="CF- 01"/>
    <s v="Malargue"/>
    <s v="Produciendo"/>
    <x v="2"/>
    <n v="23"/>
    <d v="2020-03-17T00:00:00"/>
    <n v="12.69"/>
    <n v="5.12"/>
    <x v="7"/>
  </r>
  <r>
    <s v="YPF.Md.NCF-21"/>
    <s v="NCF-0021"/>
    <s v="Bombeo Mecánico"/>
    <s v="NORTE"/>
    <s v="OPERACIONES MENDOZA NORTE"/>
    <s v="MGS Zona I"/>
    <s v="CF- 01"/>
    <s v="Malargue"/>
    <s v="Produciendo"/>
    <x v="2"/>
    <n v="467"/>
    <d v="2020-03-10T00:00:00"/>
    <n v="1.3"/>
    <n v="4.54"/>
    <x v="8"/>
  </r>
  <r>
    <s v="YPF.Md.NCF-22"/>
    <s v="NCF-0022"/>
    <s v="Bombeo Mecánico"/>
    <s v="NORTE"/>
    <s v="OPERACIONES MENDOZA NORTE"/>
    <s v="MGS Zona I"/>
    <s v="CF- 02"/>
    <s v="Malargue"/>
    <s v="Produciendo"/>
    <x v="1"/>
    <n v="3220"/>
    <d v="2019-12-29T00:00:00"/>
    <n v="0.32"/>
    <n v="1.94"/>
    <x v="9"/>
  </r>
  <r>
    <s v="YPF.Md.NCF-23"/>
    <s v="NCF-0023"/>
    <s v="Cavidad Progresiva"/>
    <s v="NORTE"/>
    <s v="OPERACIONES MENDOZA NORTE"/>
    <s v="MGS Zona I"/>
    <s v="CF- 03"/>
    <s v="Malargue"/>
    <s v="Produciendo"/>
    <x v="4"/>
    <n v="110.75"/>
    <d v="2020-01-21T00:00:00"/>
    <n v="17.41"/>
    <n v="0.88"/>
    <x v="10"/>
  </r>
  <r>
    <s v="YPF.Md.NCF-24"/>
    <s v="NCF-0024"/>
    <s v="Bombeo Mecánico"/>
    <s v="NORTE"/>
    <s v="OPERACIONES MENDOZA NORTE"/>
    <s v="MGS Zona I"/>
    <s v="CF- 01"/>
    <s v="Malargue"/>
    <s v="Produciendo"/>
    <x v="2"/>
    <n v="1652"/>
    <d v="2020-03-11T00:00:00"/>
    <n v="1.68"/>
    <n v="3.88"/>
    <x v="11"/>
  </r>
  <r>
    <s v="YPF.Md.NCF-26"/>
    <s v="NCF-0026"/>
    <s v="Bombeo Mecánico"/>
    <s v="NORTE"/>
    <s v="OPERACIONES MENDOZA NORTE"/>
    <s v="MGS Zona I"/>
    <s v="CF- 01"/>
    <s v="Malargue"/>
    <s v="Produciendo"/>
    <x v="2"/>
    <n v="10"/>
    <d v="2020-01-27T00:00:00"/>
    <n v="1.39"/>
    <n v="2.58"/>
    <x v="12"/>
  </r>
  <r>
    <s v="YPF.Md.NCF-27"/>
    <s v="NCF-0027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28"/>
    <s v="NCF-0028"/>
    <s v="Bombeo Mecánico"/>
    <s v="NORTE"/>
    <s v="OPERACIONES MENDOZA NORTE"/>
    <s v="MGS Zona I"/>
    <s v="CF- 01"/>
    <s v="Malargue"/>
    <s v="Produciendo"/>
    <x v="2"/>
    <n v="177"/>
    <d v="2020-03-07T00:00:00"/>
    <n v="5.96"/>
    <n v="4.97"/>
    <x v="13"/>
  </r>
  <r>
    <s v="YPF.Md.NCF.a-29"/>
    <s v="NCF-29"/>
    <s v="Bombeo Mecánico"/>
    <s v="NORTE"/>
    <s v="OPERACIONES MENDOZA NORTE"/>
    <s v="MGS Zona I"/>
    <s v="CF- 02"/>
    <s v="Malargue"/>
    <s v="Produciendo"/>
    <x v="1"/>
    <n v="166"/>
    <d v="2019-11-20T00:00:00"/>
    <n v="0.28000000000000003"/>
    <n v="0.8"/>
    <x v="14"/>
  </r>
  <r>
    <s v="YPF.Md.NCF-30"/>
    <s v="NCF-0030"/>
    <s v="Bombeo Mecánico"/>
    <s v="NORTE"/>
    <s v="OPERACIONES MENDOZA NORTE"/>
    <s v="MGS Zona I"/>
    <s v="CF- 01"/>
    <s v="Malargue"/>
    <s v="Produciendo"/>
    <x v="2"/>
    <n v="204.6"/>
    <d v="2020-03-18T00:00:00"/>
    <n v="26.23"/>
    <n v="11.51"/>
    <x v="15"/>
  </r>
  <r>
    <s v="YPF.Md.NCF-31"/>
    <s v="NCF-0031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32"/>
    <s v="NCF-0032"/>
    <s v="Bombeo Mecánico"/>
    <s v="NORTE"/>
    <s v="OPERACIONES MENDOZA NORTE"/>
    <s v="MGS Zona I"/>
    <s v="CF- 01"/>
    <s v="Malargue"/>
    <s v="Produciendo"/>
    <x v="2"/>
    <n v="199"/>
    <d v="2020-02-02T00:00:00"/>
    <n v="25.98"/>
    <n v="3.96"/>
    <x v="16"/>
  </r>
  <r>
    <s v="YPF.Md.NCF-34"/>
    <s v="NCF-0034"/>
    <s v="Inyección"/>
    <s v="NORTE"/>
    <s v="OPERACIONES MENDOZA NORTE"/>
    <s v="MGS Zona I"/>
    <s v="CF- 02"/>
    <s v="Malargue"/>
    <s v="Produciendo"/>
    <x v="3"/>
    <n v="0"/>
    <d v="2019-12-27T00:00:00"/>
    <n v="0"/>
    <n v="0"/>
    <x v="4"/>
  </r>
  <r>
    <s v="YPF.Md.NCF-39"/>
    <s v="NCF-0039"/>
    <s v="Bombeo Mecánico"/>
    <s v="NORTE"/>
    <s v="OPERACIONES MENDOZA NORTE"/>
    <s v="MGS Zona I"/>
    <s v="CF- 02"/>
    <s v="Malargue"/>
    <s v="Produciendo"/>
    <x v="1"/>
    <n v="589.69000000000005"/>
    <d v="2019-12-09T00:00:00"/>
    <n v="0.56000000000000005"/>
    <n v="5"/>
    <x v="17"/>
  </r>
  <r>
    <s v="YPF.Md.NCF-40"/>
    <s v="NCF-0040"/>
    <s v="Inyección"/>
    <s v="NORTE"/>
    <s v="OPERACIONES MENDOZA NORTE"/>
    <s v="MGS Zona I"/>
    <s v="CF- 02"/>
    <s v="Malargue"/>
    <s v="Produciendo"/>
    <x v="3"/>
    <n v="0"/>
    <d v="2019-12-27T00:00:00"/>
    <n v="0"/>
    <n v="0"/>
    <x v="4"/>
  </r>
  <r>
    <s v="YPF.Md.NCF-41"/>
    <s v="NCF-0041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43"/>
    <s v="NCF-0043"/>
    <s v="Bombeo Mecánico"/>
    <s v="NORTE"/>
    <s v="OPERACIONES MENDOZA NORTE"/>
    <s v="MGS Zona I"/>
    <s v="CF- 02"/>
    <s v="Malargue"/>
    <s v="Produciendo"/>
    <x v="1"/>
    <n v="273"/>
    <d v="2019-12-16T00:00:00"/>
    <n v="5.83"/>
    <n v="0.73"/>
    <x v="18"/>
  </r>
  <r>
    <s v="YPF.Md.NCF-44"/>
    <s v="NCF-0044"/>
    <s v="Inyección"/>
    <s v="NORTE"/>
    <s v="OPERACIONES MENDOZA NORTE"/>
    <s v="MGS Zona I"/>
    <s v="CF- 02"/>
    <s v="Malargue"/>
    <s v="Produciendo"/>
    <x v="3"/>
    <n v="0"/>
    <d v="2019-10-02T00:00:00"/>
    <n v="0"/>
    <n v="0"/>
    <x v="4"/>
  </r>
  <r>
    <s v="YPF.Md.NCF-45"/>
    <s v="NCF-0045"/>
    <s v="Bombeo Mecánico"/>
    <s v="NORTE"/>
    <s v="OPERACIONES MENDOZA NORTE"/>
    <s v="MGS Zona I"/>
    <s v="CF- 01"/>
    <s v="Malargue"/>
    <s v="Produciendo"/>
    <x v="2"/>
    <n v="100.33"/>
    <d v="2020-01-18T00:00:00"/>
    <n v="43.93"/>
    <n v="4.7"/>
    <x v="19"/>
  </r>
  <r>
    <s v="YPF.Md.NCF.a-46"/>
    <s v="NCF-46"/>
    <s v="Bombeo Mecánico"/>
    <s v="NORTE"/>
    <s v="OPERACIONES MENDOZA NORTE"/>
    <s v="MGS Zona I"/>
    <s v="CF- 02"/>
    <s v="Malargue"/>
    <s v="Produciendo"/>
    <x v="1"/>
    <n v="345.9"/>
    <d v="2019-12-09T00:00:00"/>
    <n v="1.43"/>
    <n v="0.24"/>
    <x v="20"/>
  </r>
  <r>
    <s v="YPF.Md.NCF.a-52"/>
    <s v="NCF-52"/>
    <s v="Electro Sumergible"/>
    <s v="NORTE"/>
    <s v="OPERACIONES MENDOZA NORTE"/>
    <s v="MGS Zona I"/>
    <s v="CF- 03"/>
    <s v="Malargue"/>
    <s v="Produciendo"/>
    <x v="4"/>
    <n v="223.3"/>
    <d v="2020-02-13T00:00:00"/>
    <n v="98.01"/>
    <n v="0.1"/>
    <x v="21"/>
  </r>
  <r>
    <s v="YPF.Md.NCF-58"/>
    <s v="NCF-0058"/>
    <s v="Plunger Lift"/>
    <s v="NORTE"/>
    <s v="OPERACIONES MENDOZA NORTE"/>
    <s v="MGS Zona I"/>
    <s v="CF- 01"/>
    <s v="Malargue"/>
    <s v="Produciendo"/>
    <x v="2"/>
    <n v="3783"/>
    <d v="2020-02-21T00:00:00"/>
    <n v="0.94"/>
    <n v="1.65"/>
    <x v="22"/>
  </r>
  <r>
    <s v="YPF.Md.NCF-59"/>
    <s v="NCF-0059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66"/>
    <s v="NCF-0066"/>
    <s v="Bombeo Mecánico"/>
    <s v="NORTE"/>
    <s v="OPERACIONES MENDOZA NORTE"/>
    <s v="MGS Zona I"/>
    <s v="CF- 02"/>
    <s v="Malargue"/>
    <s v="Produciendo"/>
    <x v="1"/>
    <n v="614.08000000000004"/>
    <d v="2019-12-09T00:00:00"/>
    <n v="6.32"/>
    <n v="0.95"/>
    <x v="23"/>
  </r>
  <r>
    <s v="YPF.Md.NCF-68"/>
    <s v="NCF-0068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70"/>
    <s v="NCF-0070"/>
    <s v="Cavidad Progresiva"/>
    <s v="NORTE"/>
    <s v="OPERACIONES MENDOZA NORTE"/>
    <s v="MGS Zona I"/>
    <s v="CF- 03"/>
    <s v="Malargue"/>
    <s v="Produciendo"/>
    <x v="4"/>
    <n v="574.39"/>
    <d v="2020-01-24T00:00:00"/>
    <n v="13.5"/>
    <n v="1.74"/>
    <x v="24"/>
  </r>
  <r>
    <s v="YPF.Md.NCF-71"/>
    <s v="NCF-0071"/>
    <s v="Cavidad Progresiva"/>
    <s v="NORTE"/>
    <s v="OPERACIONES MENDOZA NORTE"/>
    <s v="MGS Zona I"/>
    <s v="CF- 03"/>
    <s v="Malargue"/>
    <s v="Produciendo"/>
    <x v="4"/>
    <n v="125.22"/>
    <d v="2020-03-11T00:00:00"/>
    <n v="3.91"/>
    <n v="3.39"/>
    <x v="25"/>
  </r>
  <r>
    <s v="YPF.Md.NCF-73"/>
    <s v="NCF-0073"/>
    <s v="Bombeo Mecánico"/>
    <s v="NORTE"/>
    <s v="OPERACIONES MENDOZA NORTE"/>
    <s v="MGS Zona I"/>
    <s v="CF- 01"/>
    <s v="Malargue"/>
    <s v="Produciendo"/>
    <x v="2"/>
    <n v="103"/>
    <d v="2020-01-21T00:00:00"/>
    <n v="0.14000000000000001"/>
    <n v="0.86"/>
    <x v="26"/>
  </r>
  <r>
    <s v="YPF.Md.NCF-75"/>
    <s v="NCF-75[00]"/>
    <s v="Bombeo Mecánico"/>
    <s v="NORTE"/>
    <s v="OPERACIONES MENDOZA NORTE"/>
    <s v="MGS Zona I"/>
    <s v="CF- 01"/>
    <s v="Malargue"/>
    <s v="Produciendo"/>
    <x v="2"/>
    <n v="64"/>
    <d v="2020-03-04T00:00:00"/>
    <n v="5.1100000000000003"/>
    <n v="1.97"/>
    <x v="27"/>
  </r>
  <r>
    <s v="YPF.Md.NCF-76"/>
    <s v="NCF-0076"/>
    <s v="Bombeo Mecánico"/>
    <s v="NORTE"/>
    <s v="OPERACIONES MENDOZA NORTE"/>
    <s v="MGS Zona I"/>
    <s v="CF- 01"/>
    <s v="Malargue"/>
    <s v="Produciendo"/>
    <x v="2"/>
    <n v="100"/>
    <d v="2020-03-07T00:00:00"/>
    <n v="5.25"/>
    <n v="3.82"/>
    <x v="28"/>
  </r>
  <r>
    <s v="YPF.Md.NCF-77"/>
    <s v="NCF-0077"/>
    <s v="Bombeo Mecánico"/>
    <s v="NORTE"/>
    <s v="OPERACIONES MENDOZA NORTE"/>
    <s v="MGS Zona I"/>
    <s v="CF- 01"/>
    <s v="Malargue"/>
    <s v="Produciendo"/>
    <x v="2"/>
    <n v="120.5"/>
    <d v="2020-02-18T00:00:00"/>
    <n v="24.53"/>
    <n v="2.63"/>
    <x v="29"/>
  </r>
  <r>
    <s v="YPF.Md.NCF-78"/>
    <s v="NCF-0078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82"/>
    <s v="NCF-0082"/>
    <s v="Cavidad Progresiva"/>
    <s v="NORTE"/>
    <s v="OPERACIONES MENDOZA NORTE"/>
    <s v="MGS Zona I"/>
    <s v="CF- 02"/>
    <s v="Malargue"/>
    <s v="Produciendo"/>
    <x v="1"/>
    <n v="199"/>
    <d v="2019-12-02T00:00:00"/>
    <n v="12.51"/>
    <n v="1.2"/>
    <x v="30"/>
  </r>
  <r>
    <s v="YPF.Md.NCF-84"/>
    <s v="NCF-0084"/>
    <s v="Bombeo Mecánico"/>
    <s v="NORTE"/>
    <s v="OPERACIONES MENDOZA NORTE"/>
    <s v="MGS Zona I"/>
    <s v="CF- 03"/>
    <s v="Malargue"/>
    <s v="Produciendo"/>
    <x v="4"/>
    <n v="483"/>
    <d v="2020-03-07T00:00:00"/>
    <n v="2.63"/>
    <n v="2.39"/>
    <x v="31"/>
  </r>
  <r>
    <s v="YPF.Md.NCF-87"/>
    <s v="NCF-0087"/>
    <s v="Bombeo Mecánico"/>
    <s v="NORTE"/>
    <s v="OPERACIONES MENDOZA NORTE"/>
    <s v="MGS Zona I"/>
    <s v="CF- 02"/>
    <s v="Malargue"/>
    <s v="Produciendo"/>
    <x v="1"/>
    <n v="360"/>
    <d v="2019-11-10T00:00:00"/>
    <n v="3.9"/>
    <n v="3.25"/>
    <x v="32"/>
  </r>
  <r>
    <s v="YPF.Md.NLAS.x-1"/>
    <s v="NLAS-1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.x-2"/>
    <s v="NLAS-2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-5"/>
    <s v="NLAS-0005"/>
    <s v="Inyección"/>
    <s v="NORTE"/>
    <s v="OPERACIONES MENDOZA NORTE"/>
    <s v="MGS Zona II"/>
    <s v="LAS- 01"/>
    <s v="Malargue"/>
    <s v="Produciendo"/>
    <x v="5"/>
    <n v="0"/>
    <d v="2020-02-13T00:00:00"/>
    <n v="0"/>
    <n v="0"/>
    <x v="4"/>
  </r>
  <r>
    <s v="YPF.Md.NLAS.a-6"/>
    <s v="NLAS-6"/>
    <s v="Cavidad Progresiva"/>
    <s v="NORTE"/>
    <s v="OPERACIONES MENDOZA NORTE"/>
    <s v="MGS Zona II"/>
    <s v="LAS- 01"/>
    <s v="Malargue"/>
    <s v="Produciendo"/>
    <x v="6"/>
    <n v="5"/>
    <d v="2020-02-08T00:00:00"/>
    <n v="162.19"/>
    <n v="9.35"/>
    <x v="33"/>
  </r>
  <r>
    <s v="YPF.Md.NLAS-7"/>
    <s v="NLAS-0007"/>
    <s v="Cavidad Progresiva"/>
    <s v="NORTE"/>
    <s v="OPERACIONES MENDOZA NORTE"/>
    <s v="MGS Zona II"/>
    <s v="LAS- 01"/>
    <s v="Malargue"/>
    <s v="Produciendo"/>
    <x v="6"/>
    <n v="3"/>
    <d v="2020-02-24T00:00:00"/>
    <n v="27.91"/>
    <n v="5.42"/>
    <x v="34"/>
  </r>
  <r>
    <s v="YPF.Md.NLAS-8"/>
    <s v="NLAS-0008"/>
    <s v="Cavidad Progresiva"/>
    <s v="NORTE"/>
    <s v="OPERACIONES MENDOZA NORTE"/>
    <s v="MGS Zona II"/>
    <s v="LAS- 01"/>
    <s v="Malargue"/>
    <s v="Produciendo"/>
    <x v="6"/>
    <n v="8"/>
    <d v="2020-03-13T00:00:00"/>
    <n v="51.41"/>
    <n v="1.57"/>
    <x v="35"/>
  </r>
  <r>
    <s v="YPF.Md.NLAS-9"/>
    <s v="NLAS-0009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-10"/>
    <s v="NLAS-0010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-11"/>
    <s v="NLAS-0011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-12"/>
    <s v="NLAS-0012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.a-13"/>
    <s v="NLAS-13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-14"/>
    <s v="NLAS-14"/>
    <s v="Cavidad Progresiva"/>
    <s v="NORTE"/>
    <s v="OPERACIONES MENDOZA NORTE"/>
    <s v="MGS Zona II"/>
    <s v="LAS1(LAS23)"/>
    <s v="Malargue"/>
    <s v="Produciendo"/>
    <x v="7"/>
    <n v="5"/>
    <d v="2020-01-30T00:00:00"/>
    <n v="136.28"/>
    <n v="0.73"/>
    <x v="36"/>
  </r>
  <r>
    <s v="YPF.Md.NLAS.a-15"/>
    <s v="NLAS-15"/>
    <s v="Bombeo Mecánico"/>
    <s v="NORTE"/>
    <s v="OPERACIONES MENDOZA NORTE"/>
    <s v="MGS Zona II"/>
    <s v="LAS1(LAS23)"/>
    <s v="Malargue"/>
    <s v="Produciendo"/>
    <x v="7"/>
    <n v="3"/>
    <d v="2020-02-26T00:00:00"/>
    <n v="0.17"/>
    <n v="1.48"/>
    <x v="37"/>
  </r>
  <r>
    <s v="YPF.Md.NLAS-16"/>
    <s v="NLAS-0016"/>
    <s v="Cavidad Progresiva"/>
    <s v="NORTE"/>
    <s v="OPERACIONES MENDOZA NORTE"/>
    <s v="MGS Zona II"/>
    <s v="LAS1(LAS23)"/>
    <s v="Malargue"/>
    <s v="Produciendo"/>
    <x v="7"/>
    <n v="4"/>
    <d v="2020-02-25T00:00:00"/>
    <n v="50.7"/>
    <n v="4.5999999999999996"/>
    <x v="38"/>
  </r>
  <r>
    <s v="YPF.Md.NLAS-17"/>
    <s v="NLAS-0017"/>
    <s v="Cavidad Progresiva"/>
    <s v="NORTE"/>
    <s v="OPERACIONES MENDOZA NORTE"/>
    <s v="MGS Zona II"/>
    <s v="LAS1(LAS23)"/>
    <s v="Malargue"/>
    <s v="Produciendo"/>
    <x v="7"/>
    <n v="53.33"/>
    <d v="2020-03-18T00:00:00"/>
    <n v="149.6"/>
    <n v="9.5500000000000007"/>
    <x v="39"/>
  </r>
  <r>
    <s v="YPF.Md.NLAS-18"/>
    <s v="NLAS-0018"/>
    <s v="Cavidad Progresiva"/>
    <s v="NORTE"/>
    <s v="OPERACIONES MENDOZA NORTE"/>
    <s v="MGS Zona II"/>
    <s v="LAS- 01"/>
    <s v="Malargue"/>
    <s v="Produciendo"/>
    <x v="6"/>
    <n v="8"/>
    <d v="2020-03-15T00:00:00"/>
    <n v="23.61"/>
    <n v="1.07"/>
    <x v="40"/>
  </r>
  <r>
    <s v="YPF.Md.NLAS-19"/>
    <s v="NLAS-0019"/>
    <s v="Cavidad Progresiva"/>
    <s v="NORTE"/>
    <s v="OPERACIONES MENDOZA NORTE"/>
    <s v="MGS Zona II"/>
    <s v="LAS- 01"/>
    <s v="Malargue"/>
    <s v="Produciendo"/>
    <x v="6"/>
    <n v="5"/>
    <d v="2020-03-04T00:00:00"/>
    <n v="18.329999999999998"/>
    <n v="1.95"/>
    <x v="41"/>
  </r>
  <r>
    <s v="YPF.Md.NLAS-20"/>
    <s v="NLAS-0020"/>
    <s v="Cavidad Progresiva"/>
    <s v="NORTE"/>
    <s v="OPERACIONES MENDOZA NORTE"/>
    <s v="MGS Zona II"/>
    <s v="LAS1(LAS23)"/>
    <s v="Malargue"/>
    <s v="Produciendo"/>
    <x v="7"/>
    <n v="15"/>
    <d v="2020-03-04T00:00:00"/>
    <n v="39.35"/>
    <n v="2.2400000000000002"/>
    <x v="42"/>
  </r>
  <r>
    <s v="YPF.Md.NLAS-21"/>
    <s v="NLAS-0021"/>
    <s v="Cavidad Progresiva"/>
    <s v="NORTE"/>
    <s v="OPERACIONES MENDOZA NORTE"/>
    <s v="MGS Zona II"/>
    <s v="LAS- 01"/>
    <s v="Malargue"/>
    <s v="Produciendo"/>
    <x v="6"/>
    <n v="20.21"/>
    <d v="2020-03-18T00:00:00"/>
    <n v="56.77"/>
    <n v="9.3699999999999992"/>
    <x v="43"/>
  </r>
  <r>
    <s v="YPF.Md.NLAS-23"/>
    <s v="NLAS-0023"/>
    <s v="Cavidad Progresiva"/>
    <s v="NORTE"/>
    <s v="OPERACIONES MENDOZA NORTE"/>
    <s v="MGS Zona II"/>
    <s v="LAS1(LAS23)"/>
    <s v="Malargue"/>
    <s v="Produciendo"/>
    <x v="7"/>
    <n v="15"/>
    <d v="2020-03-11T00:00:00"/>
    <n v="169.99"/>
    <n v="0.28000000000000003"/>
    <x v="44"/>
  </r>
  <r>
    <s v="YPF.Md.NLAS-24"/>
    <s v="NLAS-0024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-25"/>
    <s v="NLAS-0025"/>
    <s v="Cavidad Progresiva"/>
    <s v="NORTE"/>
    <s v="OPERACIONES MENDOZA NORTE"/>
    <s v="MGS Zona II"/>
    <s v="LAS1(LAS23)"/>
    <s v="Malargue"/>
    <s v="Produciendo"/>
    <x v="7"/>
    <n v="6"/>
    <d v="2020-02-09T00:00:00"/>
    <n v="74.33"/>
    <n v="0.66"/>
    <x v="45"/>
  </r>
  <r>
    <s v="YPF.Md.NLAS-26"/>
    <s v="NLAS-0026"/>
    <s v="Cavidad Progresiva"/>
    <s v="NORTE"/>
    <s v="OPERACIONES MENDOZA NORTE"/>
    <s v="MGS Zona II"/>
    <s v="LAS- 01"/>
    <s v="Malargue"/>
    <s v="Produciendo"/>
    <x v="6"/>
    <n v="5"/>
    <d v="2020-03-05T00:00:00"/>
    <n v="64.83"/>
    <n v="5.91"/>
    <x v="46"/>
  </r>
  <r>
    <s v="YPF.Md.NLAS-28"/>
    <s v="NLAS-0028"/>
    <s v="Inyección"/>
    <s v="NORTE"/>
    <s v="OPERACIONES MENDOZA NORTE"/>
    <s v="MGS Zona II"/>
    <s v="PTC"/>
    <s v="Malargue"/>
    <s v="Produciendo"/>
    <x v="8"/>
    <n v="0"/>
    <d v="2019-03-29T00:00:00"/>
    <n v="0"/>
    <n v="0"/>
    <x v="4"/>
  </r>
  <r>
    <s v="YPF.Md.NLAS-30"/>
    <s v="NLAS-0030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-31"/>
    <s v="NLAS-0031"/>
    <s v="Inyección"/>
    <s v="NORTE"/>
    <s v="OPERACIONES MENDOZA NORTE"/>
    <s v="MGS Zona II"/>
    <s v="PTC"/>
    <s v="Malargue"/>
    <s v="Produciendo"/>
    <x v="5"/>
    <n v="0"/>
    <d v="1995-11-13T00:00:00"/>
    <n v="0"/>
    <n v="0"/>
    <x v="4"/>
  </r>
  <r>
    <s v="YPF.Md.NLAS-32"/>
    <s v="NLAS-0032"/>
    <s v="Inyección"/>
    <s v="NORTE"/>
    <s v="OPERACIONES MENDOZA NORTE"/>
    <s v="MGS Zona II"/>
    <s v="PTC"/>
    <s v="Malargue"/>
    <s v="Produciendo"/>
    <x v="5"/>
    <n v="0"/>
    <d v="2019-11-29T00:00:00"/>
    <n v="0"/>
    <n v="0"/>
    <x v="4"/>
  </r>
  <r>
    <s v="YPF.Md.NLAS-35"/>
    <s v="NLAS-0035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-36"/>
    <s v="NLAS-0036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AS-39"/>
    <s v="NLAS-0039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Ca.x-1"/>
    <s v="NLCa-0001"/>
    <s v="Inyección"/>
    <s v="NORTE"/>
    <s v="OPERACIONES MENDOZA NORTE"/>
    <s v="MGS Zona II"/>
    <s v="PTC"/>
    <s v="Malargue"/>
    <s v="Produciendo"/>
    <x v="9"/>
    <n v="0"/>
    <d v="2020-02-13T00:00:00"/>
    <n v="0"/>
    <n v="0"/>
    <x v="4"/>
  </r>
  <r>
    <s v="YPF.Md.NLCa.e-2"/>
    <s v="NLCa-2"/>
    <s v="Bombeo Mecánico"/>
    <s v="NORTE"/>
    <s v="OPERACIONES MENDOZA NORTE"/>
    <s v="MGS Zona II"/>
    <s v="MDM"/>
    <s v="Malargue"/>
    <s v="Produciendo"/>
    <x v="10"/>
    <n v="90"/>
    <d v="2020-03-17T00:00:00"/>
    <n v="2.36"/>
    <n v="0.54"/>
    <x v="47"/>
  </r>
  <r>
    <s v="YPF.Md.NLCa.a-5"/>
    <s v="NLCa-5"/>
    <s v="Bombeo Mecánico"/>
    <s v="NORTE"/>
    <s v="OPERACIONES MENDOZA NORTE"/>
    <s v="MGS Zona II"/>
    <s v="LCA- 01"/>
    <s v="Malargue"/>
    <s v="Produciendo"/>
    <x v="11"/>
    <n v="2192"/>
    <d v="2020-03-18T00:00:00"/>
    <n v="12.67"/>
    <n v="0.94"/>
    <x v="48"/>
  </r>
  <r>
    <s v="YPF.Md.NLCa-16"/>
    <s v="NLCa-0016"/>
    <s v="Inyección"/>
    <s v="NORTE"/>
    <s v="OPERACIONES MENDOZA NORTE"/>
    <s v="MGS Zona II"/>
    <s v="PTC"/>
    <s v="Malargue"/>
    <s v="Produciendo"/>
    <x v="9"/>
    <n v="0"/>
    <d v="2020-02-13T00:00:00"/>
    <n v="0"/>
    <n v="0"/>
    <x v="4"/>
  </r>
  <r>
    <s v="YPF.Md.NLCa.a-33"/>
    <s v="NLCa-0033"/>
    <s v="Bombeo Mecánico"/>
    <s v="NORTE"/>
    <s v="OPERACIONES MENDOZA NORTE"/>
    <s v="MGS Zona II"/>
    <s v="LCA- 02"/>
    <s v="Malargue"/>
    <s v="Produciendo"/>
    <x v="12"/>
    <n v="1717"/>
    <d v="2020-02-11T00:00:00"/>
    <n v="4.37"/>
    <n v="0.95"/>
    <x v="49"/>
  </r>
  <r>
    <s v="YPF.Md.NLCa-36"/>
    <s v="NLCa-0036"/>
    <s v="Inyección"/>
    <s v="NORTE"/>
    <s v="OPERACIONES MENDOZA NORTE"/>
    <s v="MGS Zona II"/>
    <s v="PTC"/>
    <s v="Malargue"/>
    <s v="Produciendo"/>
    <x v="9"/>
    <n v="0"/>
    <d v="2020-02-13T00:00:00"/>
    <n v="0"/>
    <n v="0"/>
    <x v="4"/>
  </r>
  <r>
    <s v="YPF.Md.NLCa-37"/>
    <s v="NLCa-0037"/>
    <s v="Bombeo Mecánico"/>
    <s v="NORTE"/>
    <s v="OPERACIONES MENDOZA NORTE"/>
    <s v="MGS Zona II"/>
    <s v="LCA- 01"/>
    <s v="Malargue"/>
    <s v="Produciendo"/>
    <x v="11"/>
    <n v="1948"/>
    <d v="2020-03-16T00:00:00"/>
    <n v="10.130000000000001"/>
    <n v="0.16"/>
    <x v="50"/>
  </r>
  <r>
    <s v="YPF.Md.NLCa-47"/>
    <s v="NLCa-0047"/>
    <s v="Bombeo Mecánico"/>
    <s v="NORTE"/>
    <s v="OPERACIONES MENDOZA NORTE"/>
    <s v="MGS Zona II"/>
    <s v="LCA- 01"/>
    <s v="Malargue"/>
    <s v="Produciendo"/>
    <x v="11"/>
    <n v="2000"/>
    <d v="2020-03-17T00:00:00"/>
    <n v="2.1"/>
    <n v="2.08"/>
    <x v="51"/>
  </r>
  <r>
    <s v="YPF.Md.NLCa-48"/>
    <s v="NLCa-0048"/>
    <s v="Bombeo Mecánico"/>
    <s v="NORTE"/>
    <s v="OPERACIONES MENDOZA NORTE"/>
    <s v="MGS Zona II"/>
    <s v="LCA- 01"/>
    <s v="Malargue"/>
    <s v="Produciendo"/>
    <x v="11"/>
    <n v="10005"/>
    <d v="2020-03-10T00:00:00"/>
    <n v="42.34"/>
    <n v="4.21"/>
    <x v="52"/>
  </r>
  <r>
    <s v="YPF.Md.NLCa-53"/>
    <s v="NLCa-0053"/>
    <s v="Bombeo Mecánico"/>
    <s v="NORTE"/>
    <s v="OPERACIONES MENDOZA NORTE"/>
    <s v="MGS Zona II"/>
    <s v="LCA- 01"/>
    <s v="Malargue"/>
    <s v="Produciendo"/>
    <x v="11"/>
    <n v="1964"/>
    <d v="2020-02-18T00:00:00"/>
    <n v="43.79"/>
    <n v="2.77"/>
    <x v="53"/>
  </r>
  <r>
    <s v="YPF.Md.NLCa-55"/>
    <s v="NLCa-0055"/>
    <s v="Bombeo Mecánico"/>
    <s v="NORTE"/>
    <s v="OPERACIONES MENDOZA NORTE"/>
    <s v="MGS Zona II"/>
    <s v="LCA- 01"/>
    <s v="Malargue"/>
    <s v="Produciendo"/>
    <x v="11"/>
    <n v="1996"/>
    <d v="2020-03-16T00:00:00"/>
    <n v="6.68"/>
    <n v="0.74"/>
    <x v="54"/>
  </r>
  <r>
    <s v="YPF.Md.NLCa-56"/>
    <s v="NLCa-0056"/>
    <s v="Bombeo Mecánico"/>
    <s v="NORTE"/>
    <s v="OPERACIONES MENDOZA NORTE"/>
    <s v="MGS Zona II"/>
    <s v="LCA- 02"/>
    <s v="Malargue"/>
    <s v="Produciendo"/>
    <x v="12"/>
    <n v="515"/>
    <d v="2020-02-17T00:00:00"/>
    <n v="10.23"/>
    <n v="0.81"/>
    <x v="55"/>
  </r>
  <r>
    <s v="YPF.Md.NLCa-62"/>
    <s v="NLCa-0062"/>
    <s v="Bombeo Mecánico"/>
    <s v="NORTE"/>
    <s v="OPERACIONES MENDOZA NORTE"/>
    <s v="MGS Zona II"/>
    <s v="LCA- 03"/>
    <s v="Malargue"/>
    <s v="Produciendo"/>
    <x v="11"/>
    <n v="25"/>
    <d v="2020-03-17T00:00:00"/>
    <n v="1.31"/>
    <n v="0.48"/>
    <x v="56"/>
  </r>
  <r>
    <s v="YPF.Md.NLCa-67"/>
    <s v="NLCa-0067"/>
    <s v="Bombeo Mecánico"/>
    <s v="NORTE"/>
    <s v="OPERACIONES MENDOZA NORTE"/>
    <s v="MGS Zona II"/>
    <s v="LCA- 02"/>
    <s v="Malargue"/>
    <s v="Produciendo"/>
    <x v="12"/>
    <n v="2318"/>
    <d v="2020-02-18T00:00:00"/>
    <n v="33.42"/>
    <n v="1.96"/>
    <x v="57"/>
  </r>
  <r>
    <s v="YPF.Md.NLCa-68"/>
    <s v="NLCa-0068"/>
    <s v="Bombeo Mecánico"/>
    <s v="NORTE"/>
    <s v="OPERACIONES MENDOZA NORTE"/>
    <s v="MGS Zona II"/>
    <s v="LCA- 02"/>
    <s v="Malargue"/>
    <s v="Produciendo"/>
    <x v="12"/>
    <n v="2901"/>
    <d v="2020-03-16T00:00:00"/>
    <n v="12.78"/>
    <n v="1.5"/>
    <x v="58"/>
  </r>
  <r>
    <s v="YPF.Md.NLCa-73"/>
    <s v="NLCa-0073"/>
    <s v="Bombeo Mecánico"/>
    <s v="NORTE"/>
    <s v="OPERACIONES MENDOZA NORTE"/>
    <s v="MGS Zona II"/>
    <s v="LCA- 02"/>
    <s v="Malargue"/>
    <s v="Produciendo"/>
    <x v="12"/>
    <n v="963"/>
    <d v="2020-02-17T00:00:00"/>
    <n v="4.51"/>
    <n v="0.39"/>
    <x v="59"/>
  </r>
  <r>
    <s v="YPF.Md.NLCa-76"/>
    <s v="NLCa-0076"/>
    <s v="Bombeo Mecánico"/>
    <s v="NORTE"/>
    <s v="OPERACIONES MENDOZA NORTE"/>
    <s v="MGS Zona II"/>
    <s v="LCA- 02"/>
    <s v="Malargue"/>
    <s v="Produciendo"/>
    <x v="12"/>
    <n v="6716"/>
    <d v="2020-03-16T00:00:00"/>
    <n v="9.41"/>
    <n v="1.81"/>
    <x v="60"/>
  </r>
  <r>
    <s v="YPF.Md.NLCa-78"/>
    <s v="NLCa-0078"/>
    <s v="Bombeo Mecánico"/>
    <s v="NORTE"/>
    <s v="OPERACIONES MENDOZA NORTE"/>
    <s v="MGS Zona II"/>
    <s v="LCA- 02"/>
    <s v="Malargue"/>
    <s v="Produciendo"/>
    <x v="12"/>
    <n v="1992"/>
    <d v="2020-03-19T00:00:00"/>
    <n v="5.45"/>
    <n v="0.81"/>
    <x v="61"/>
  </r>
  <r>
    <s v="YPF.Md.NLCa-85"/>
    <s v="NLCa-0085"/>
    <s v="Bombeo Mecánico"/>
    <s v="NORTE"/>
    <s v="OPERACIONES MENDOZA NORTE"/>
    <s v="MGS Zona II"/>
    <s v="LCA- 02"/>
    <s v="Malargue"/>
    <s v="Produciendo"/>
    <x v="12"/>
    <n v="2946"/>
    <d v="2020-03-18T00:00:00"/>
    <n v="17.39"/>
    <n v="3.04"/>
    <x v="3"/>
  </r>
  <r>
    <s v="YPF.Md.NLCa-138"/>
    <s v="NLCa-0138"/>
    <s v="Electro Sumergible"/>
    <s v="NORTE"/>
    <s v="OPERACIONES MENDOZA NORTE"/>
    <s v="MGS Zona II"/>
    <s v="LCA- 01"/>
    <s v="Malargue"/>
    <s v="Produciendo"/>
    <x v="11"/>
    <n v="6539"/>
    <d v="2020-03-10T00:00:00"/>
    <n v="123.62"/>
    <n v="6.3"/>
    <x v="62"/>
  </r>
  <r>
    <s v="YPF.Md.NLCa-142"/>
    <s v="NLCa-0142"/>
    <s v="Bombeo Mecánico"/>
    <s v="NORTE"/>
    <s v="OPERACIONES MENDOZA NORTE"/>
    <s v="MGS Zona II"/>
    <s v="LCA- 02"/>
    <s v="Malargue"/>
    <s v="Produciendo"/>
    <x v="12"/>
    <n v="6604"/>
    <d v="2020-03-10T00:00:00"/>
    <n v="22.77"/>
    <n v="3.12"/>
    <x v="63"/>
  </r>
  <r>
    <s v="YPF.Md.NLDM.x-1"/>
    <s v="NLDM-0001"/>
    <s v="Bombeo Mecánico"/>
    <s v="NORTE"/>
    <s v="OPERACIONES MENDOZA NORTE"/>
    <s v="MGN Zona I"/>
    <s v="LDLM"/>
    <s v="Malargue"/>
    <s v="Produciendo"/>
    <x v="13"/>
    <n v="0"/>
    <d v="2020-03-17T00:00:00"/>
    <n v="0.13"/>
    <n v="0.86"/>
    <x v="64"/>
  </r>
  <r>
    <s v="YPF.Md.NLDM-4"/>
    <s v="NLDM-0004"/>
    <s v="Bombeo Mecánico"/>
    <s v="NORTE"/>
    <s v="OPERACIONES MENDOZA NORTE"/>
    <s v="MGN Zona I"/>
    <s v="LDLM"/>
    <s v="Malargue"/>
    <s v="Produciendo"/>
    <x v="13"/>
    <n v="18"/>
    <d v="2020-01-26T00:00:00"/>
    <n v="0"/>
    <n v="0.25"/>
    <x v="65"/>
  </r>
  <r>
    <s v="YPF.Md.NLDM-5"/>
    <s v="NLDM-0005"/>
    <s v="Bombeo Mecánico"/>
    <s v="NORTE"/>
    <s v="OPERACIONES MENDOZA NORTE"/>
    <s v="MGN Zona I"/>
    <s v="LDLM"/>
    <s v="Malargue"/>
    <s v="Produciendo"/>
    <x v="13"/>
    <n v="63"/>
    <d v="2019-11-25T00:00:00"/>
    <n v="0.73"/>
    <n v="0.7"/>
    <x v="66"/>
  </r>
  <r>
    <s v="YPF.Md.NLDM.a-6"/>
    <s v="NLDM-6"/>
    <s v="Bombeo Mecánico"/>
    <s v="NORTE"/>
    <s v="OPERACIONES MENDOZA NORTE"/>
    <s v="MGN Zona I"/>
    <s v="LDLM"/>
    <s v="Malargue"/>
    <s v="Produciendo"/>
    <x v="13"/>
    <n v="42"/>
    <d v="2020-01-05T00:00:00"/>
    <n v="0.01"/>
    <n v="0.37"/>
    <x v="67"/>
  </r>
  <r>
    <s v="YPF.Md.NLDM-9"/>
    <s v="NLDM-0009"/>
    <s v="Bombeo Mecánico"/>
    <s v="NORTE"/>
    <s v="OPERACIONES MENDOZA NORTE"/>
    <s v="MGN Zona I"/>
    <s v="LDLM"/>
    <s v="Malargue"/>
    <s v="Produciendo"/>
    <x v="13"/>
    <n v="169"/>
    <d v="2020-02-14T00:00:00"/>
    <n v="0.1"/>
    <n v="1.86"/>
    <x v="68"/>
  </r>
  <r>
    <s v="YPF.Md.NLDM-10"/>
    <s v="NLDM-0010"/>
    <s v="Bombeo Mecánico"/>
    <s v="NORTE"/>
    <s v="OPERACIONES MENDOZA NORTE"/>
    <s v="MGN Zona I"/>
    <s v="LDLM"/>
    <s v="Malargue"/>
    <s v="Produciendo"/>
    <x v="13"/>
    <n v="49"/>
    <d v="2020-02-14T00:00:00"/>
    <n v="0.04"/>
    <n v="0.55000000000000004"/>
    <x v="69"/>
  </r>
  <r>
    <s v="YPF.Md.NMDM-21"/>
    <s v="NMDM-0021"/>
    <s v="Bombeo Mecánico"/>
    <s v="NORTE"/>
    <s v="OPERACIONES MENDOZA NORTE"/>
    <s v="MGS Zona II"/>
    <s v="MDM"/>
    <s v="Malargue"/>
    <s v="Produciendo"/>
    <x v="10"/>
    <n v="150"/>
    <d v="2020-03-16T00:00:00"/>
    <n v="2.58"/>
    <n v="0.42"/>
    <x v="70"/>
  </r>
  <r>
    <s v="YPF.Md.NMDM-27"/>
    <s v="NMDM-0027"/>
    <s v="Bombeo Mecánico"/>
    <s v="NORTE"/>
    <s v="OPERACIONES MENDOZA NORTE"/>
    <s v="MGS Zona II"/>
    <s v="MDM"/>
    <s v="Malargue"/>
    <s v="Produciendo"/>
    <x v="10"/>
    <n v="26"/>
    <d v="2020-03-16T00:00:00"/>
    <n v="57.9"/>
    <n v="0.7"/>
    <x v="71"/>
  </r>
  <r>
    <s v="YPF.Md.NMDM-46"/>
    <s v="NMDM-0046"/>
    <s v="Bombeo Mecánico"/>
    <s v="NORTE"/>
    <s v="OPERACIONES MENDOZA NORTE"/>
    <s v="MGS Zona II"/>
    <s v="MDM"/>
    <s v="Malargue"/>
    <s v="Produciendo"/>
    <x v="10"/>
    <n v="2810"/>
    <d v="2020-03-03T00:00:00"/>
    <n v="20"/>
    <n v="1.5"/>
    <x v="72"/>
  </r>
  <r>
    <s v="YPF.Md.NMDM-76"/>
    <s v="NMDM-0076"/>
    <s v="Surgente"/>
    <s v="NORTE"/>
    <s v="OPERACIONES MENDOZA NORTE"/>
    <s v="MGS Zona II"/>
    <s v="MDM"/>
    <s v="Malargue"/>
    <s v="Produciendo"/>
    <x v="10"/>
    <n v="5500"/>
    <d v="2020-03-03T00:00:00"/>
    <n v="0.99"/>
    <n v="0.01"/>
    <x v="26"/>
  </r>
  <r>
    <s v="YPF.Md.NPP-6"/>
    <s v="NPP-0006"/>
    <s v="Bombeo Mecánico"/>
    <s v="NORTE"/>
    <s v="OPERACIONES MENDOZA NORTE"/>
    <s v="MGS Zona II"/>
    <s v="PP"/>
    <s v="Malargue"/>
    <s v="Produciendo"/>
    <x v="14"/>
    <n v="7"/>
    <d v="2020-02-17T00:00:00"/>
    <n v="0.11"/>
    <n v="6.9"/>
    <x v="73"/>
  </r>
  <r>
    <s v="YPF.Md.NPP-10"/>
    <s v="NPP-10"/>
    <s v="Bombeo Mecánico"/>
    <s v="NORTE"/>
    <s v="OPERACIONES MENDOZA NORTE"/>
    <s v="MGS Zona II"/>
    <s v="PP"/>
    <s v="Malargue"/>
    <s v="Produciendo"/>
    <x v="14"/>
    <n v="8"/>
    <d v="2020-03-09T00:00:00"/>
    <n v="0.01"/>
    <n v="0.96"/>
    <x v="74"/>
  </r>
  <r>
    <s v="YPF.Md.NPP.a-13"/>
    <s v="NPP-13"/>
    <s v="Bombeo Mecánico"/>
    <s v="NORTE"/>
    <s v="OPERACIONES MENDOZA NORTE"/>
    <s v="MGS Zona II"/>
    <s v="PP"/>
    <s v="Malargue"/>
    <s v="Produciendo"/>
    <x v="14"/>
    <n v="12"/>
    <d v="2020-03-11T00:00:00"/>
    <n v="0.03"/>
    <n v="3.03"/>
    <x v="75"/>
  </r>
  <r>
    <s v="YPF.Md.NPP.a-16"/>
    <s v="NPP-16"/>
    <s v="Bombeo Mecánico"/>
    <s v="NORTE"/>
    <s v="OPERACIONES MENDOZA NORTE"/>
    <s v="MGS Zona II"/>
    <s v="PP"/>
    <s v="Malargue"/>
    <s v="Produciendo"/>
    <x v="14"/>
    <n v="5"/>
    <d v="2020-02-06T00:00:00"/>
    <n v="0.04"/>
    <n v="3.85"/>
    <x v="76"/>
  </r>
  <r>
    <s v="YPF.Md.NPP-17"/>
    <s v="NPP-0017"/>
    <s v="Bombeo Mecánico"/>
    <s v="NORTE"/>
    <s v="OPERACIONES MENDOZA NORTE"/>
    <s v="MGS Zona II"/>
    <s v="PP"/>
    <s v="Malargue"/>
    <s v="Produciendo"/>
    <x v="14"/>
    <n v="5"/>
    <d v="2020-02-08T00:00:00"/>
    <n v="0.02"/>
    <n v="2.98"/>
    <x v="70"/>
  </r>
  <r>
    <s v="YPF.Md.NPP-17"/>
    <s v="NPP-0017"/>
    <s v="Bombeo Mecánico"/>
    <s v="NORTE"/>
    <s v="OPERACIONES MENDOZA NORTE"/>
    <s v="MGS Zona II"/>
    <s v="PP"/>
    <s v="Malargue"/>
    <s v="Produciendo"/>
    <x v="14"/>
    <n v="5"/>
    <d v="2020-02-08T00:00:00"/>
    <n v="0.02"/>
    <n v="2.98"/>
    <x v="70"/>
  </r>
  <r>
    <s v="YPF.Md.NPP-19"/>
    <s v="NPP-0019"/>
    <s v="Bombeo Mecánico"/>
    <s v="NORTE"/>
    <s v="OPERACIONES MENDOZA NORTE"/>
    <s v="MGS Zona II"/>
    <s v="PP"/>
    <s v="Malargue"/>
    <s v="Produciendo"/>
    <x v="14"/>
    <n v="7"/>
    <d v="2020-01-27T00:00:00"/>
    <n v="0.12"/>
    <n v="1.91"/>
    <x v="77"/>
  </r>
  <r>
    <s v="YPF.Md.NPP.a-20"/>
    <s v="NPP-20"/>
    <s v="Bombeo Mecánico"/>
    <s v="NORTE"/>
    <s v="OPERACIONES MENDOZA NORTE"/>
    <s v="MGS Zona II"/>
    <s v="PP"/>
    <s v="Malargue"/>
    <s v="Produciendo"/>
    <x v="14"/>
    <n v="5"/>
    <d v="2020-01-08T00:00:00"/>
    <n v="0.22"/>
    <n v="0.56000000000000005"/>
    <x v="78"/>
  </r>
  <r>
    <s v="YPF.Md.NPP-24"/>
    <s v="NPP-0024"/>
    <s v="Bombeo Mecánico"/>
    <s v="NORTE"/>
    <s v="OPERACIONES MENDOZA NORTE"/>
    <s v="MGS Zona II"/>
    <s v="PP"/>
    <s v="Malargue"/>
    <s v="Produciendo"/>
    <x v="14"/>
    <n v="5"/>
    <d v="2020-03-13T00:00:00"/>
    <n v="6.91"/>
    <n v="3.25"/>
    <x v="79"/>
  </r>
  <r>
    <s v="YPF.Md.NPP-26"/>
    <s v="NPP-0026"/>
    <s v="Bombeo Mecánico"/>
    <s v="NORTE"/>
    <s v="OPERACIONES MENDOZA NORTE"/>
    <s v="MGS Zona II"/>
    <s v="PP"/>
    <s v="Malargue"/>
    <s v="Produciendo"/>
    <x v="14"/>
    <n v="6"/>
    <d v="2020-01-27T00:00:00"/>
    <n v="3.72"/>
    <n v="2.68"/>
    <x v="80"/>
  </r>
  <r>
    <s v="YPF.Md.NPP-31"/>
    <s v="NPP-0031"/>
    <s v="Bombeo Mecánico"/>
    <s v="NORTE"/>
    <s v="OPERACIONES MENDOZA NORTE"/>
    <s v="MGS Zona II"/>
    <s v="PP"/>
    <s v="Malargue"/>
    <s v="Produciendo"/>
    <x v="14"/>
    <n v="5"/>
    <d v="2020-02-07T00:00:00"/>
    <n v="0.27"/>
    <n v="2.5299999999999998"/>
    <x v="81"/>
  </r>
  <r>
    <s v="YPF.Md.NPP.a-33"/>
    <s v="NPP-33"/>
    <s v="Bombeo Mecánico"/>
    <s v="NORTE"/>
    <s v="OPERACIONES MENDOZA NORTE"/>
    <s v="MGS Zona II"/>
    <s v="PP"/>
    <s v="Malargue"/>
    <s v="Produciendo"/>
    <x v="14"/>
    <n v="3"/>
    <d v="2019-06-05T00:00:00"/>
    <n v="0.03"/>
    <n v="0.8"/>
    <x v="82"/>
  </r>
  <r>
    <s v="YPF.Md.NPP-36"/>
    <s v="NPP-0036"/>
    <s v="Bombeo Mecánico"/>
    <s v="NORTE"/>
    <s v="OPERACIONES MENDOZA NORTE"/>
    <s v="MGS Zona II"/>
    <s v="PP"/>
    <s v="Malargue"/>
    <s v="Produciendo"/>
    <x v="14"/>
    <n v="5"/>
    <d v="2020-01-08T00:00:00"/>
    <n v="0.04"/>
    <n v="1.52"/>
    <x v="83"/>
  </r>
  <r>
    <s v="YPF.Md.NPP-37"/>
    <s v="NPP-0037"/>
    <s v="Bombeo Mecánico"/>
    <s v="NORTE"/>
    <s v="OPERACIONES MENDOZA NORTE"/>
    <s v="MGS Zona II"/>
    <s v="PP"/>
    <s v="Malargue"/>
    <s v="Produciendo"/>
    <x v="14"/>
    <n v="6"/>
    <d v="2020-03-02T00:00:00"/>
    <n v="0.15"/>
    <n v="8.98"/>
    <x v="84"/>
  </r>
  <r>
    <s v="YPF.Md.NPP-43"/>
    <s v="NPP-0043"/>
    <s v="Bombeo Mecánico"/>
    <s v="NORTE"/>
    <s v="OPERACIONES MENDOZA NORTE"/>
    <s v="MGS Zona II"/>
    <s v="PP"/>
    <s v="Malargue"/>
    <s v="Produciendo"/>
    <x v="14"/>
    <n v="5"/>
    <d v="2020-03-03T00:00:00"/>
    <n v="0.62"/>
    <n v="1.6"/>
    <x v="85"/>
  </r>
  <r>
    <s v="YPF.Md.NPP-48"/>
    <s v="NPP-0048"/>
    <s v="Bombeo Mecánico"/>
    <s v="NORTE"/>
    <s v="OPERACIONES MENDOZA NORTE"/>
    <s v="MGS Zona II"/>
    <s v="PP"/>
    <s v="Malargue"/>
    <s v="Produciendo"/>
    <x v="14"/>
    <n v="9"/>
    <d v="2020-01-14T00:00:00"/>
    <n v="0.49"/>
    <n v="1.73"/>
    <x v="86"/>
  </r>
  <r>
    <s v="YPF.Md.NPP-49"/>
    <s v="NPP-0049"/>
    <s v="Bombeo Mecánico"/>
    <s v="NORTE"/>
    <s v="OPERACIONES MENDOZA NORTE"/>
    <s v="MGS Zona II"/>
    <s v="PP"/>
    <s v="Malargue"/>
    <s v="Produciendo"/>
    <x v="14"/>
    <n v="5"/>
    <d v="2020-02-17T00:00:00"/>
    <n v="0.08"/>
    <n v="3.05"/>
    <x v="87"/>
  </r>
  <r>
    <s v="YPF.Md.NPP-51"/>
    <s v="NPP-0051"/>
    <s v="Bombeo Mecánico"/>
    <s v="NORTE"/>
    <s v="OPERACIONES MENDOZA NORTE"/>
    <s v="MGS Zona II"/>
    <s v="PP"/>
    <s v="Malargue"/>
    <s v="Produciendo"/>
    <x v="14"/>
    <n v="5"/>
    <d v="2020-02-28T00:00:00"/>
    <n v="0.12"/>
    <n v="4.0199999999999996"/>
    <x v="88"/>
  </r>
  <r>
    <s v="YPF.Md.NPP-53"/>
    <s v="NPP-0053"/>
    <s v="Bombeo Mecánico"/>
    <s v="NORTE"/>
    <s v="OPERACIONES MENDOZA NORTE"/>
    <s v="MGS Zona II"/>
    <s v="PP"/>
    <s v="Malargue"/>
    <s v="Produciendo"/>
    <x v="14"/>
    <n v="5"/>
    <d v="2020-02-08T00:00:00"/>
    <n v="12.57"/>
    <n v="4.8499999999999996"/>
    <x v="89"/>
  </r>
  <r>
    <s v="YPF.Md.NPP-55"/>
    <s v="NPP-0055"/>
    <s v="Bombeo Mecánico"/>
    <s v="NORTE"/>
    <s v="OPERACIONES MENDOZA NORTE"/>
    <s v="MGS Zona II"/>
    <s v="PP"/>
    <s v="Malargue"/>
    <s v="Produciendo"/>
    <x v="14"/>
    <n v="5"/>
    <d v="2020-03-09T00:00:00"/>
    <n v="0.05"/>
    <n v="3.37"/>
    <x v="90"/>
  </r>
  <r>
    <s v="YPF.Md.NLAS-22"/>
    <s v="NLAS-0022"/>
    <s v="Cavidad Progresiva"/>
    <s v="NORTE"/>
    <s v="OPERACIONES MENDOZA NORTE"/>
    <s v="MGS Zona II"/>
    <s v="LAS- 01"/>
    <s v="Malargue"/>
    <s v="Produciendo"/>
    <x v="6"/>
    <n v="5"/>
    <d v="2020-02-08T00:00:00"/>
    <n v="16.29"/>
    <n v="1.86"/>
    <x v="91"/>
  </r>
  <r>
    <s v="YPF.Md.NMDM.a-29"/>
    <s v="NMDM-29"/>
    <s v="Bombeo Mecánico"/>
    <s v="NORTE"/>
    <s v="OPERACIONES MENDOZA NORTE"/>
    <s v="MGS Zona II"/>
    <s v="MDM"/>
    <s v="Malargue"/>
    <s v="Produciendo"/>
    <x v="10"/>
    <n v="400"/>
    <d v="2020-03-03T00:00:00"/>
    <n v="10.8"/>
    <n v="1.2"/>
    <x v="92"/>
  </r>
  <r>
    <s v="YPF.Md.NMDM-28"/>
    <s v="NMDM-0028"/>
    <s v="Electro Sumergible"/>
    <s v="NORTE"/>
    <s v="OPERACIONES MENDOZA NORTE"/>
    <s v="MGS Zona II"/>
    <s v="MDM"/>
    <s v="Malargue"/>
    <s v="Produciendo"/>
    <x v="10"/>
    <n v="2000"/>
    <d v="2020-03-03T00:00:00"/>
    <n v="191.09"/>
    <n v="2.86"/>
    <x v="93"/>
  </r>
  <r>
    <s v="YPF.Md.NCFS.x-1"/>
    <s v="NCFS.x-1"/>
    <s v="Cavidad Progresiva"/>
    <s v="NORTE"/>
    <s v="OPERACIONES MENDOZA NORTE"/>
    <s v="MGS Zona I"/>
    <s v="CF- 03"/>
    <s v="Malargue"/>
    <s v="Produciendo"/>
    <x v="4"/>
    <n v="490.62"/>
    <d v="2020-02-13T00:00:00"/>
    <n v="22.91"/>
    <n v="2.34"/>
    <x v="94"/>
  </r>
  <r>
    <s v="YPF.Md.NCF-86"/>
    <s v="NCF-0086"/>
    <s v="Bombeo Mecánico"/>
    <s v="NORTE"/>
    <s v="OPERACIONES MENDOZA NORTE"/>
    <s v="MGS Zona I"/>
    <s v="CF- 02"/>
    <s v="Malargue"/>
    <s v="Produciendo"/>
    <x v="1"/>
    <n v="936"/>
    <d v="2019-11-20T00:00:00"/>
    <n v="7.21"/>
    <n v="1.1000000000000001"/>
    <x v="95"/>
  </r>
  <r>
    <s v="YPF.Md.NCF-89"/>
    <s v="NCF-0089"/>
    <s v="Bombeo Mecánico"/>
    <s v="NORTE"/>
    <s v="OPERACIONES MENDOZA NORTE"/>
    <s v="MGS Zona I"/>
    <s v="CF- 03"/>
    <s v="Malargue"/>
    <s v="Produciendo"/>
    <x v="4"/>
    <n v="238.8"/>
    <d v="2020-03-17T00:00:00"/>
    <n v="67.2"/>
    <n v="7.0000000000000007E-2"/>
    <x v="96"/>
  </r>
  <r>
    <s v="YPF.Md.NMDM-25"/>
    <s v="NMDM-0025"/>
    <s v="Bombeo Mecánico"/>
    <s v="NORTE"/>
    <s v="OPERACIONES MENDOZA NORTE"/>
    <s v="MGS Zona II"/>
    <s v="MDM"/>
    <s v="Malargue"/>
    <s v="Produciendo"/>
    <x v="10"/>
    <n v="6000"/>
    <d v="2020-03-03T00:00:00"/>
    <n v="33.25"/>
    <n v="4.7300000000000004"/>
    <x v="97"/>
  </r>
  <r>
    <s v="YPF.Md.NLCa.a-26"/>
    <s v="NLCa-26"/>
    <s v="Bombeo Mecánico"/>
    <s v="NORTE"/>
    <s v="OPERACIONES MENDOZA NORTE"/>
    <s v="MGS Zona II"/>
    <s v="LCA- 01"/>
    <s v="Malargue"/>
    <s v="Produciendo"/>
    <x v="11"/>
    <n v="2055"/>
    <d v="2020-03-17T00:00:00"/>
    <n v="18.79"/>
    <n v="1.8"/>
    <x v="98"/>
  </r>
  <r>
    <s v="YPF.Md.NMDM.a-56"/>
    <s v="NMDM-56"/>
    <s v="Bombeo Mecánico"/>
    <s v="NORTE"/>
    <s v="OPERACIONES MENDOZA NORTE"/>
    <s v="MGS Zona II"/>
    <s v="MDM"/>
    <s v="Malargue"/>
    <s v="Produciendo"/>
    <x v="10"/>
    <n v="2700"/>
    <d v="2020-03-03T00:00:00"/>
    <n v="56.84"/>
    <n v="1.1599999999999999"/>
    <x v="99"/>
  </r>
  <r>
    <s v="YPF.Md.NLCa-49"/>
    <s v="NLCa-0049"/>
    <s v="Bombeo Mecánico"/>
    <s v="NORTE"/>
    <s v="OPERACIONES MENDOZA NORTE"/>
    <s v="MGS Zona II"/>
    <s v="LCA- 01"/>
    <s v="Malargue"/>
    <s v="Produciendo"/>
    <x v="11"/>
    <n v="2637"/>
    <d v="2020-03-17T00:00:00"/>
    <n v="34.9"/>
    <n v="4.46"/>
    <x v="100"/>
  </r>
  <r>
    <s v="YPF.Md.NLDM-8h"/>
    <s v="NLDM-8[00]"/>
    <s v="Bombeo Mecánico"/>
    <s v="NORTE"/>
    <s v="OPERACIONES MENDOZA NORTE"/>
    <s v="MGN Zona I"/>
    <s v="LDLM"/>
    <s v="Malargue"/>
    <s v="Produciendo"/>
    <x v="13"/>
    <n v="96"/>
    <d v="2020-03-17T00:00:00"/>
    <n v="0.01"/>
    <n v="1.07"/>
    <x v="14"/>
  </r>
  <r>
    <s v="YPF.Md.NMDM-39"/>
    <s v="NMDM-0039"/>
    <s v="Bombeo Mecánico"/>
    <s v="NORTE"/>
    <s v="OPERACIONES MENDOZA NORTE"/>
    <s v="MGS Zona II"/>
    <s v="MDM"/>
    <s v="Malargue"/>
    <s v="Produciendo"/>
    <x v="10"/>
    <n v="6700"/>
    <d v="2020-03-03T00:00:00"/>
    <n v="42.75"/>
    <n v="2.2400000000000002"/>
    <x v="101"/>
  </r>
  <r>
    <s v="YPF.Md.NMDM-32"/>
    <s v="NMDM-0032"/>
    <s v="Inyección"/>
    <s v="NORTE"/>
    <s v="OPERACIONES MENDOZA NORTE"/>
    <s v="MGS Zona II"/>
    <s v="PTC"/>
    <s v="Malargue"/>
    <s v="Produciendo"/>
    <x v="15"/>
    <n v="0"/>
    <d v="2020-02-13T00:00:00"/>
    <n v="0"/>
    <n v="0"/>
    <x v="4"/>
  </r>
  <r>
    <s v="YPF.Md.NMDM-19"/>
    <s v="NMDM-0019"/>
    <s v="Inyección"/>
    <s v="NORTE"/>
    <s v="OPERACIONES MENDOZA NORTE"/>
    <s v="MGS Zona II"/>
    <s v="PTC"/>
    <s v="Malargue"/>
    <s v="Produciendo"/>
    <x v="15"/>
    <n v="0"/>
    <d v="2020-02-13T00:00:00"/>
    <n v="0"/>
    <n v="0"/>
    <x v="4"/>
  </r>
  <r>
    <s v="YPF.Md.NCF-50"/>
    <s v="NCF-0050"/>
    <s v="Bombeo Mecánico"/>
    <s v="NORTE"/>
    <s v="OPERACIONES MENDOZA NORTE"/>
    <s v="MGS Zona I"/>
    <s v="CF- 02"/>
    <s v="Malargue"/>
    <s v="Produciendo"/>
    <x v="1"/>
    <n v="3807.2"/>
    <d v="2019-11-14T00:00:00"/>
    <n v="1.86"/>
    <n v="1.08"/>
    <x v="102"/>
  </r>
  <r>
    <s v="YPF.Md.NCF-65"/>
    <s v="NCF-0065"/>
    <s v="Bombeo Mecánico"/>
    <s v="NORTE"/>
    <s v="OPERACIONES MENDOZA NORTE"/>
    <s v="MGS Zona I"/>
    <s v="CF- 02"/>
    <s v="Malargue"/>
    <s v="Produciendo"/>
    <x v="1"/>
    <n v="809.83"/>
    <d v="2019-11-05T00:00:00"/>
    <n v="3.3"/>
    <n v="1.49"/>
    <x v="103"/>
  </r>
  <r>
    <s v="YPF.Md.NCF-67"/>
    <s v="NCF-0067"/>
    <s v="Bombeo Mecánico"/>
    <s v="NORTE"/>
    <s v="OPERACIONES MENDOZA NORTE"/>
    <s v="MGS Zona I"/>
    <s v="CF- 02"/>
    <s v="Malargue"/>
    <s v="Produciendo"/>
    <x v="1"/>
    <n v="2928"/>
    <d v="2020-01-18T00:00:00"/>
    <n v="6.86"/>
    <n v="2.2799999999999998"/>
    <x v="104"/>
  </r>
  <r>
    <s v="YPF.Md.NCF-69"/>
    <s v="NCF-0069"/>
    <s v="Bombeo Mecánico"/>
    <s v="NORTE"/>
    <s v="OPERACIONES MENDOZA NORTE"/>
    <s v="MGS Zona I"/>
    <s v="CF- 03"/>
    <s v="Malargue"/>
    <s v="Produciendo"/>
    <x v="4"/>
    <n v="123.13"/>
    <d v="2020-01-24T00:00:00"/>
    <n v="56.25"/>
    <n v="2.79"/>
    <x v="105"/>
  </r>
  <r>
    <s v="YPF.Md.NCF-93"/>
    <s v="NCF-0093"/>
    <s v="Bombeo Mecánico"/>
    <s v="NORTE"/>
    <s v="OPERACIONES MENDOZA NORTE"/>
    <s v="MGS Zona I"/>
    <s v="CF- 01"/>
    <s v="Malargue"/>
    <s v="Produciendo"/>
    <x v="2"/>
    <n v="204"/>
    <d v="2020-03-02T00:00:00"/>
    <n v="0.45"/>
    <n v="0.94"/>
    <x v="106"/>
  </r>
  <r>
    <s v="YPF.Md.NCF-90"/>
    <s v="NCF-0090"/>
    <s v="Bombeo Mecánico"/>
    <s v="NORTE"/>
    <s v="OPERACIONES MENDOZA NORTE"/>
    <s v="MGS Zona I"/>
    <s v="CF- 02"/>
    <s v="Malargue"/>
    <s v="Produciendo"/>
    <x v="1"/>
    <n v="8148"/>
    <d v="2019-12-04T00:00:00"/>
    <n v="0.2"/>
    <n v="2.68"/>
    <x v="107"/>
  </r>
  <r>
    <s v="YPF.Md.NCF.a-47"/>
    <s v="NCF-0047"/>
    <s v="Bombeo Mecánico"/>
    <s v="NORTE"/>
    <s v="OPERACIONES MENDOZA NORTE"/>
    <s v="MGS Zona I"/>
    <s v="CF- 03"/>
    <s v="Malargue"/>
    <s v="Produciendo"/>
    <x v="4"/>
    <n v="125.21"/>
    <d v="2019-11-28T00:00:00"/>
    <n v="0.39"/>
    <n v="0.68"/>
    <x v="108"/>
  </r>
  <r>
    <s v="YPF.Md.NRG-26"/>
    <s v="NRG-0026"/>
    <s v="Bombeo Mecánico"/>
    <s v="NORTE"/>
    <s v="OPERACIONES MENDOZA NORTE"/>
    <s v="MGS Zona II"/>
    <s v="MDM(RG28)"/>
    <s v="Malargue"/>
    <s v="Produciendo"/>
    <x v="16"/>
    <n v="120"/>
    <d v="2020-03-04T00:00:00"/>
    <n v="22.29"/>
    <n v="1.47"/>
    <x v="109"/>
  </r>
  <r>
    <s v="YPF.Md.NRG-28"/>
    <s v="NRG-0028"/>
    <s v="Bombeo Mecánico"/>
    <s v="NORTE"/>
    <s v="OPERACIONES MENDOZA NORTE"/>
    <s v="MGS Zona II"/>
    <s v="MDM(RG28)"/>
    <s v="Malargue"/>
    <s v="Produciendo"/>
    <x v="16"/>
    <n v="6715"/>
    <d v="2020-03-09T00:00:00"/>
    <n v="16.98"/>
    <n v="6.28"/>
    <x v="110"/>
  </r>
  <r>
    <s v="YPF.Md.NCF-94"/>
    <s v="NCF-0094"/>
    <s v="Bombeo Mecánico"/>
    <s v="NORTE"/>
    <s v="OPERACIONES MENDOZA NORTE"/>
    <s v="MGS Zona I"/>
    <s v="CF- 01"/>
    <s v="Malargue"/>
    <s v="Produciendo"/>
    <x v="2"/>
    <n v="34"/>
    <d v="2019-11-28T00:00:00"/>
    <n v="6.8"/>
    <n v="1.2"/>
    <x v="111"/>
  </r>
  <r>
    <s v="YPF.Md.NCF-36"/>
    <s v="NCF-0036"/>
    <s v="Bombeo Mecánico"/>
    <s v="NORTE"/>
    <s v="OPERACIONES MENDOZA NORTE"/>
    <s v="MGS Zona I"/>
    <s v="CF- 02"/>
    <s v="Malargue"/>
    <s v="Produciendo"/>
    <x v="1"/>
    <n v="121"/>
    <d v="2019-11-20T00:00:00"/>
    <n v="0.86"/>
    <n v="1.29"/>
    <x v="112"/>
  </r>
  <r>
    <s v="YPF.Md.NCF-96"/>
    <s v="NCF-96"/>
    <s v="Bombeo Mecánico"/>
    <s v="NORTE"/>
    <s v="OPERACIONES MENDOZA NORTE"/>
    <s v="MGS Zona I"/>
    <s v="CF- 01"/>
    <s v="Malargue"/>
    <s v="Produciendo"/>
    <x v="2"/>
    <n v="132"/>
    <d v="2020-03-09T00:00:00"/>
    <n v="16.850000000000001"/>
    <n v="1.23"/>
    <x v="113"/>
  </r>
  <r>
    <s v="YPF.Md.NCF-101(I)"/>
    <s v="NCF-101(I)"/>
    <s v="Bombeo Mecánico"/>
    <s v="NORTE"/>
    <s v="OPERACIONES MENDOZA NORTE"/>
    <s v="MGS Zona I"/>
    <s v="CF- 03"/>
    <s v="Malargue"/>
    <s v="Produciendo"/>
    <x v="4"/>
    <n v="5305"/>
    <d v="2020-03-02T00:00:00"/>
    <n v="3.68"/>
    <n v="3.18"/>
    <x v="114"/>
  </r>
  <r>
    <s v="YPF.Md.NCF-99"/>
    <s v="NCF-0099"/>
    <s v="Cavidad Progresiva"/>
    <s v="NORTE"/>
    <s v="OPERACIONES MENDOZA NORTE"/>
    <s v="MGS Zona I"/>
    <s v="CF- 02"/>
    <s v="Malargue"/>
    <s v="Produciendo"/>
    <x v="1"/>
    <n v="426.88"/>
    <d v="2020-02-18T00:00:00"/>
    <n v="3.03"/>
    <n v="0.81"/>
    <x v="115"/>
  </r>
  <r>
    <s v="YPF.Md.NCF-100"/>
    <s v="NCF-0100"/>
    <s v="Bombeo Mecánico"/>
    <s v="NORTE"/>
    <s v="OPERACIONES MENDOZA NORTE"/>
    <s v="MGS Zona I"/>
    <s v="CF- 02"/>
    <s v="Malargue"/>
    <s v="Produciendo"/>
    <x v="1"/>
    <n v="710.28"/>
    <d v="2019-10-21T00:00:00"/>
    <n v="0.48"/>
    <n v="1.49"/>
    <x v="116"/>
  </r>
  <r>
    <s v="YPF.Md.NCF-55"/>
    <s v="NCF-0055"/>
    <s v="Bombeo Mecánico"/>
    <s v="NORTE"/>
    <s v="OPERACIONES MENDOZA NORTE"/>
    <s v="MGS Zona I"/>
    <s v="CF- 03"/>
    <s v="Malargue"/>
    <s v="Produciendo"/>
    <x v="4"/>
    <n v="6812.85"/>
    <d v="2020-03-12T00:00:00"/>
    <n v="7.48"/>
    <n v="6.44"/>
    <x v="117"/>
  </r>
  <r>
    <s v="YPF.Md.NLCa-75"/>
    <s v="NLCa-0075"/>
    <s v="Bombeo Mecánico"/>
    <s v="NORTE"/>
    <s v="OPERACIONES MENDOZA NORTE"/>
    <s v="MGS Zona II"/>
    <s v="LCA- 02"/>
    <s v="Malargue"/>
    <s v="Produciendo"/>
    <x v="12"/>
    <n v="3217"/>
    <d v="2020-01-18T00:00:00"/>
    <n v="3.5"/>
    <n v="0.86"/>
    <x v="118"/>
  </r>
  <r>
    <s v="YPF.Md.NCF-98"/>
    <s v="NCF-0098"/>
    <s v="Bombeo Mecánico"/>
    <s v="NORTE"/>
    <s v="OPERACIONES MENDOZA NORTE"/>
    <s v="MGS Zona I"/>
    <s v="CF- 01"/>
    <s v="Malargue"/>
    <s v="Produciendo"/>
    <x v="2"/>
    <n v="110"/>
    <d v="2020-03-07T00:00:00"/>
    <n v="0.1"/>
    <n v="0.89"/>
    <x v="64"/>
  </r>
  <r>
    <s v="YPF.Md.NMDM.a-82"/>
    <s v="NMDM-82"/>
    <s v="Bombeo Mecánico"/>
    <s v="NORTE"/>
    <s v="OPERACIONES MENDOZA NORTE"/>
    <s v="MGS Zona II"/>
    <s v="MDMO"/>
    <s v="Malargue"/>
    <s v="Produciendo"/>
    <x v="17"/>
    <n v="1420"/>
    <d v="2020-03-17T00:00:00"/>
    <n v="1.01"/>
    <n v="3.79"/>
    <x v="119"/>
  </r>
  <r>
    <s v="YPF.Md.NLAS-41"/>
    <s v="NLAS-0041"/>
    <s v="Cavidad Progresiva"/>
    <s v="NORTE"/>
    <s v="OPERACIONES MENDOZA NORTE"/>
    <s v="MGS Zona II"/>
    <s v="LAS1(LAS23)"/>
    <s v="Malargue"/>
    <s v="Produciendo"/>
    <x v="7"/>
    <n v="8"/>
    <d v="2020-03-14T00:00:00"/>
    <n v="19.61"/>
    <n v="4.2300000000000004"/>
    <x v="120"/>
  </r>
  <r>
    <s v="YPF.Md.NCF-107"/>
    <s v="NCF-0107"/>
    <s v="Bombeo Mecánico"/>
    <s v="NORTE"/>
    <s v="OPERACIONES MENDOZA NORTE"/>
    <s v="MGS Zona I"/>
    <s v="CF- 03"/>
    <s v="Malargue"/>
    <s v="Produciendo"/>
    <x v="4"/>
    <n v="453.4"/>
    <d v="2020-03-02T00:00:00"/>
    <n v="21.6"/>
    <n v="2.56"/>
    <x v="121"/>
  </r>
  <r>
    <s v="YPF.Md.NCF-109"/>
    <s v="NCF-0109"/>
    <s v="Bombeo Mecánico"/>
    <s v="NORTE"/>
    <s v="OPERACIONES MENDOZA NORTE"/>
    <s v="MGS Zona I"/>
    <s v="CF- 03"/>
    <s v="Malargue"/>
    <s v="Produciendo"/>
    <x v="4"/>
    <n v="399.25"/>
    <d v="2020-03-09T00:00:00"/>
    <n v="2.88"/>
    <n v="1.66"/>
    <x v="122"/>
  </r>
  <r>
    <s v="YPF.Md.NALAt.x-2"/>
    <s v="NALAt-0002"/>
    <s v="Electro Sumergible"/>
    <s v="NORTE"/>
    <s v="OPERACIONES MENDOZA NORTE"/>
    <s v="MGS Zona I"/>
    <s v="CF- 03"/>
    <s v="Malargue"/>
    <s v="Produciendo"/>
    <x v="4"/>
    <n v="10"/>
    <d v="2020-01-27T00:00:00"/>
    <n v="207.29"/>
    <n v="0.2"/>
    <x v="123"/>
  </r>
  <r>
    <s v="YPF.Md.NCF-105"/>
    <s v="NCF-0105"/>
    <s v="Bombeo Mecánico"/>
    <s v="NORTE"/>
    <s v="OPERACIONES MENDOZA NORTE"/>
    <s v="MGS Zona I"/>
    <s v="CF- 03"/>
    <s v="Malargue"/>
    <s v="Produciendo"/>
    <x v="4"/>
    <n v="100"/>
    <d v="2020-03-09T00:00:00"/>
    <n v="2.2999999999999998"/>
    <n v="7.0000000000000007E-2"/>
    <x v="124"/>
  </r>
  <r>
    <s v="YPF.Md.NLDM.a-11"/>
    <s v="NLDM-0011"/>
    <s v="Inyección"/>
    <s v="NORTE"/>
    <s v="OPERACIONES MENDOZA NORTE"/>
    <s v="MGN Zona I"/>
    <s v="LDLM"/>
    <s v="Malargue"/>
    <s v="Produciendo"/>
    <x v="18"/>
    <n v="88.16"/>
    <d v="2013-07-26T00:00:00"/>
    <n v="8.34"/>
    <n v="7.0000000000000007E-2"/>
    <x v="125"/>
  </r>
  <r>
    <s v="YPF.Md.NCF-108"/>
    <s v="NCF-0108"/>
    <s v="Bombeo Mecánico"/>
    <s v="NORTE"/>
    <s v="OPERACIONES MENDOZA NORTE"/>
    <s v="MGS Zona I"/>
    <s v="CF- 03"/>
    <s v="Malargue"/>
    <s v="Produciendo"/>
    <x v="4"/>
    <n v="102.19"/>
    <d v="2020-03-11T00:00:00"/>
    <n v="7.45"/>
    <n v="0.94"/>
    <x v="126"/>
  </r>
  <r>
    <s v="YPF.Md.NCF-114"/>
    <s v="NCF-0114"/>
    <s v="Bombeo Mecánico"/>
    <s v="NORTE"/>
    <s v="OPERACIONES MENDOZA NORTE"/>
    <s v="MGS Zona I"/>
    <s v="CF- 03"/>
    <s v="Malargue"/>
    <s v="Produciendo"/>
    <x v="4"/>
    <n v="453.32"/>
    <d v="2020-03-09T00:00:00"/>
    <n v="1.71"/>
    <n v="0.28999999999999998"/>
    <x v="127"/>
  </r>
  <r>
    <s v="YPF.Md.NCF.a-115"/>
    <s v="NCF-115"/>
    <s v="Bombeo Mecánico"/>
    <s v="NORTE"/>
    <s v="OPERACIONES MENDOZA NORTE"/>
    <s v="MGS Zona I"/>
    <s v="CF- 03"/>
    <s v="Malargue"/>
    <s v="Produciendo"/>
    <x v="4"/>
    <n v="361.65"/>
    <d v="2020-02-24T00:00:00"/>
    <n v="65.09"/>
    <n v="3.08"/>
    <x v="128"/>
  </r>
  <r>
    <s v="YPF.Md.NLDM-12"/>
    <s v="NLDM-12"/>
    <s v="Bombeo Mecánico"/>
    <s v="NORTE"/>
    <s v="OPERACIONES MENDOZA NORTE"/>
    <s v="MGN Zona I"/>
    <s v="LDLM"/>
    <s v="Malargue"/>
    <s v="Produciendo"/>
    <x v="13"/>
    <n v="170"/>
    <d v="2020-02-14T00:00:00"/>
    <n v="0.81"/>
    <n v="1.89"/>
    <x v="129"/>
  </r>
  <r>
    <s v="YPF.Md.NMDM-83"/>
    <s v="NMDM-83"/>
    <s v="Bombeo Mecánico"/>
    <s v="NORTE"/>
    <s v="OPERACIONES MENDOZA NORTE"/>
    <s v="MGS Zona II"/>
    <s v="MDMO"/>
    <s v="Malargue"/>
    <s v="Produciendo"/>
    <x v="17"/>
    <n v="110"/>
    <d v="2020-03-02T00:00:00"/>
    <n v="2.96"/>
    <n v="2.74"/>
    <x v="130"/>
  </r>
  <r>
    <s v="YPF.Md.NCF-117"/>
    <s v="NCF-117"/>
    <s v="Bombeo Mecánico"/>
    <s v="NORTE"/>
    <s v="OPERACIONES MENDOZA NORTE"/>
    <s v="MGS Zona I"/>
    <s v="CF- 03"/>
    <s v="Malargue"/>
    <s v="Produciendo"/>
    <x v="4"/>
    <n v="112.4"/>
    <d v="2020-02-13T00:00:00"/>
    <n v="10.55"/>
    <n v="0.61"/>
    <x v="131"/>
  </r>
  <r>
    <s v="YPF.Md.NCD.x-16"/>
    <s v="NCD-16"/>
    <s v="Bombeo Mecánico"/>
    <s v="NORTE"/>
    <s v="OPERACIONES MENDOZA NORTE"/>
    <s v="MGS Zona II"/>
    <s v="CD"/>
    <s v="Malargue"/>
    <s v="Produciendo"/>
    <x v="0"/>
    <n v="0"/>
    <d v="2020-02-25T00:00:00"/>
    <n v="5.71"/>
    <n v="6.16"/>
    <x v="132"/>
  </r>
  <r>
    <s v="YPF.Md.NCF-119"/>
    <s v="NCF-119"/>
    <s v="Bombeo Mecánico"/>
    <s v="NORTE"/>
    <s v="OPERACIONES MENDOZA NORTE"/>
    <s v="MGS Zona I"/>
    <s v="CF- 03"/>
    <s v="Malargue"/>
    <s v="Produciendo"/>
    <x v="4"/>
    <n v="114.05"/>
    <d v="2020-03-17T00:00:00"/>
    <n v="0.33"/>
    <n v="1.05"/>
    <x v="133"/>
  </r>
  <r>
    <s v="YPF.Md.NPP.x-9"/>
    <s v="NPP-9"/>
    <s v="Inyección"/>
    <s v="NORTE"/>
    <s v="OPERACIONES MENDOZA NORTE"/>
    <s v="MGS Zona II"/>
    <s v="PTC"/>
    <s v="Malargue"/>
    <s v="Produciendo"/>
    <x v="19"/>
    <n v="0"/>
    <d v="2020-02-13T00:00:00"/>
    <n v="0"/>
    <n v="0"/>
    <x v="4"/>
  </r>
  <r>
    <s v="YPF.Md.NPP-25(I)"/>
    <s v="NPP-0025(I)"/>
    <s v="Bombeo Mecánico"/>
    <s v="NORTE"/>
    <s v="OPERACIONES MENDOZA NORTE"/>
    <s v="MGS Zona II"/>
    <s v="PP"/>
    <s v="Malargue"/>
    <s v="Produciendo"/>
    <x v="14"/>
    <n v="10"/>
    <d v="2020-03-12T00:00:00"/>
    <n v="1.75"/>
    <n v="0.75"/>
    <x v="134"/>
  </r>
  <r>
    <s v="YPF.Md.NPP-28"/>
    <s v="NPP-0028"/>
    <s v="Bombeo Mecánico"/>
    <s v="NORTE"/>
    <s v="OPERACIONES MENDOZA NORTE"/>
    <s v="MGS Zona II"/>
    <s v="PP"/>
    <s v="Malargue"/>
    <s v="Produciendo"/>
    <x v="14"/>
    <n v="5"/>
    <d v="2020-02-08T00:00:00"/>
    <n v="0.85"/>
    <n v="1.26"/>
    <x v="135"/>
  </r>
  <r>
    <s v="YPF.Md.NPP-30"/>
    <s v="NPP-0030"/>
    <s v="Bombeo Mecánico"/>
    <s v="NORTE"/>
    <s v="OPERACIONES MENDOZA NORTE"/>
    <s v="MGS Zona II"/>
    <s v="PP"/>
    <s v="Malargue"/>
    <s v="Produciendo"/>
    <x v="14"/>
    <n v="5"/>
    <d v="2020-03-09T00:00:00"/>
    <n v="0.3"/>
    <n v="3.96"/>
    <x v="136"/>
  </r>
  <r>
    <s v="YPF.Md.NPP-42"/>
    <s v="NPP-0042"/>
    <s v="Bombeo Mecánico"/>
    <s v="NORTE"/>
    <s v="OPERACIONES MENDOZA NORTE"/>
    <s v="MGS Zona II"/>
    <s v="PP"/>
    <s v="Malargue"/>
    <s v="Produciendo"/>
    <x v="14"/>
    <n v="3"/>
    <d v="2020-03-11T00:00:00"/>
    <n v="0.18"/>
    <n v="0.66"/>
    <x v="137"/>
  </r>
  <r>
    <s v="YPF.Md.NPP-44"/>
    <s v="NPP-0044"/>
    <s v="Bombeo Mecánico"/>
    <s v="NORTE"/>
    <s v="OPERACIONES MENDOZA NORTE"/>
    <s v="MGS Zona II"/>
    <s v="PP"/>
    <s v="Malargue"/>
    <s v="Produciendo"/>
    <x v="14"/>
    <n v="15"/>
    <d v="2020-02-24T00:00:00"/>
    <n v="1.26"/>
    <n v="3.57"/>
    <x v="138"/>
  </r>
  <r>
    <s v="YPF.Md.NPP-46"/>
    <s v="NPP-0046"/>
    <s v="Bombeo Mecánico"/>
    <s v="NORTE"/>
    <s v="OPERACIONES MENDOZA NORTE"/>
    <s v="MGS Zona II"/>
    <s v="PP"/>
    <s v="Malargue"/>
    <s v="Produciendo"/>
    <x v="14"/>
    <n v="5"/>
    <d v="2020-02-28T00:00:00"/>
    <n v="4.29"/>
    <n v="9.11"/>
    <x v="139"/>
  </r>
  <r>
    <s v="YPF.Md.NPP-56"/>
    <s v="NPP-0056"/>
    <s v="Bombeo Mecánico"/>
    <s v="NORTE"/>
    <s v="OPERACIONES MENDOZA NORTE"/>
    <s v="MGS Zona II"/>
    <s v="PP"/>
    <s v="Malargue"/>
    <s v="Produciendo"/>
    <x v="14"/>
    <n v="5"/>
    <d v="2019-12-22T00:00:00"/>
    <n v="0.05"/>
    <n v="1.63"/>
    <x v="140"/>
  </r>
  <r>
    <s v="YPF.Md.NCD.a-5"/>
    <s v="NCD-0005"/>
    <s v="Bombeo Mecánico"/>
    <s v="NORTE"/>
    <s v="OPERACIONES MENDOZA NORTE"/>
    <s v="MGS Zona II"/>
    <s v="CD"/>
    <s v="Malargue"/>
    <s v="Produciendo"/>
    <x v="0"/>
    <n v="6"/>
    <d v="2020-02-25T00:00:00"/>
    <n v="16.72"/>
    <n v="2.27"/>
    <x v="141"/>
  </r>
  <r>
    <s v="YPF.Md.NRG-32"/>
    <s v="NRG-0032"/>
    <s v="Bombeo Mecánico"/>
    <s v="NORTE"/>
    <s v="OPERACIONES MENDOZA NORTE"/>
    <s v="MGS Zona II"/>
    <s v="MDM(RG28)"/>
    <s v="Malargue"/>
    <s v="Produciendo"/>
    <x v="16"/>
    <n v="6820"/>
    <d v="2020-02-03T00:00:00"/>
    <n v="22.43"/>
    <n v="1.66"/>
    <x v="142"/>
  </r>
  <r>
    <s v="YPF.Md.NRG.a-35"/>
    <s v="RG.a-35"/>
    <s v="Bombeo Mecánico"/>
    <s v="NORTE"/>
    <s v="OPERACIONES MENDOZA NORTE"/>
    <s v="MGS Zona II"/>
    <s v="MDM(RG28)"/>
    <s v="Malargue"/>
    <s v="Produciendo"/>
    <x v="16"/>
    <n v="125"/>
    <d v="2020-03-11T00:00:00"/>
    <n v="10.96"/>
    <n v="4.05"/>
    <x v="143"/>
  </r>
  <r>
    <s v="YPF.Md.NMDM-11"/>
    <s v="NMDM-0011"/>
    <s v="Inyección"/>
    <s v="NORTE"/>
    <s v="OPERACIONES MENDOZA NORTE"/>
    <s v="MGS Zona II"/>
    <s v="MDM"/>
    <s v="Malargue"/>
    <s v="Produciendo"/>
    <x v="15"/>
    <n v="0"/>
    <d v="2019-08-30T00:00:00"/>
    <n v="0"/>
    <n v="0"/>
    <x v="4"/>
  </r>
  <r>
    <s v="YPF.Md.NMDM-17"/>
    <s v="NMDM-0017"/>
    <s v="Bombeo Mecánico"/>
    <s v="NORTE"/>
    <s v="OPERACIONES MENDOZA NORTE"/>
    <s v="MGS Zona II"/>
    <s v="MDM"/>
    <s v="Malargue"/>
    <s v="Produciendo"/>
    <x v="10"/>
    <n v="1200"/>
    <d v="2020-03-03T00:00:00"/>
    <n v="10.44"/>
    <n v="1.55"/>
    <x v="144"/>
  </r>
  <r>
    <s v="YPF.Md.NMDM-47"/>
    <s v="NMDM-0047"/>
    <s v="Bombeo Mecánico"/>
    <s v="NORTE"/>
    <s v="OPERACIONES MENDOZA NORTE"/>
    <s v="MGS Zona II"/>
    <s v="MDM"/>
    <s v="Malargue"/>
    <s v="Produciendo"/>
    <x v="10"/>
    <n v="10"/>
    <d v="2020-02-03T00:00:00"/>
    <n v="7.77"/>
    <n v="0.67"/>
    <x v="145"/>
  </r>
  <r>
    <s v="YPF.Md.NMDM-58"/>
    <s v="NMDM-0058"/>
    <s v="Electro Sumergible"/>
    <s v="NORTE"/>
    <s v="OPERACIONES MENDOZA NORTE"/>
    <s v="MGS Zona II"/>
    <s v="MDM"/>
    <s v="Malargue"/>
    <s v="Produciendo"/>
    <x v="10"/>
    <n v="6885"/>
    <d v="2020-03-12T00:00:00"/>
    <n v="46.54"/>
    <n v="3.19"/>
    <x v="146"/>
  </r>
  <r>
    <s v="YPF.Md.NMDM-62"/>
    <s v="NMDM-0062"/>
    <s v="Bombeo Mecánico"/>
    <s v="NORTE"/>
    <s v="OPERACIONES MENDOZA NORTE"/>
    <s v="MGS Zona II"/>
    <s v="MDM"/>
    <s v="Malargue"/>
    <s v="Produciendo"/>
    <x v="10"/>
    <n v="18"/>
    <d v="2020-03-17T00:00:00"/>
    <n v="18.91"/>
    <n v="1.69"/>
    <x v="147"/>
  </r>
  <r>
    <s v="YPF.Md.NMDM.x-64"/>
    <s v="NMDM-64"/>
    <s v="Inyección"/>
    <s v="NORTE"/>
    <s v="OPERACIONES MENDOZA NORTE"/>
    <s v="MGS Zona II"/>
    <s v="MDM"/>
    <s v="Malargue"/>
    <s v="Produciendo"/>
    <x v="15"/>
    <n v="0"/>
    <d v="2017-08-26T00:00:00"/>
    <n v="0"/>
    <n v="0"/>
    <x v="4"/>
  </r>
  <r>
    <s v="YPF.Md.NMDM.a-69"/>
    <s v="NMDM-0069"/>
    <s v="Bombeo Mecánico"/>
    <s v="NORTE"/>
    <s v="OPERACIONES MENDOZA NORTE"/>
    <s v="MGS Zona II"/>
    <s v="LCA- 04"/>
    <s v="Malargue"/>
    <s v="Produciendo"/>
    <x v="20"/>
    <n v="1051"/>
    <d v="2020-02-03T00:00:00"/>
    <n v="11.5"/>
    <n v="1.99"/>
    <x v="148"/>
  </r>
  <r>
    <s v="YPF.Md.NMDM-72"/>
    <s v="NMDM-0072"/>
    <s v="Bombeo Mecánico"/>
    <s v="NORTE"/>
    <s v="OPERACIONES MENDOZA NORTE"/>
    <s v="MGS Zona II"/>
    <s v="MDM"/>
    <s v="Malargue"/>
    <s v="Produciendo"/>
    <x v="10"/>
    <n v="4010"/>
    <d v="2020-03-03T00:00:00"/>
    <n v="39.36"/>
    <n v="8.61"/>
    <x v="149"/>
  </r>
  <r>
    <s v="YPF.Md.NMDM-77"/>
    <s v="NMDM-0077"/>
    <s v="Bombeo Mecánico"/>
    <s v="NORTE"/>
    <s v="OPERACIONES MENDOZA NORTE"/>
    <s v="MGS Zona II"/>
    <s v="LCA- 04"/>
    <s v="Malargue"/>
    <s v="Produciendo"/>
    <x v="20"/>
    <n v="2900"/>
    <d v="2020-02-21T00:00:00"/>
    <n v="0.56000000000000005"/>
    <n v="0.83"/>
    <x v="150"/>
  </r>
  <r>
    <s v="YPF.Md.NLCa-11"/>
    <s v="NLCa-0011"/>
    <s v="Inyección"/>
    <s v="NORTE"/>
    <s v="OPERACIONES MENDOZA NORTE"/>
    <s v="MGS Zona II"/>
    <s v="PTC"/>
    <s v="Malargue"/>
    <s v="Produciendo"/>
    <x v="9"/>
    <n v="0"/>
    <d v="2020-02-13T00:00:00"/>
    <n v="0"/>
    <n v="0"/>
    <x v="4"/>
  </r>
  <r>
    <s v="YPF.Md.NLCa-38"/>
    <s v="NLCa-0038"/>
    <s v="Bombeo Mecánico"/>
    <s v="NORTE"/>
    <s v="OPERACIONES MENDOZA NORTE"/>
    <s v="MGS Zona II"/>
    <s v="LCA- 01"/>
    <s v="Malargue"/>
    <s v="Produciendo"/>
    <x v="11"/>
    <n v="500"/>
    <d v="2020-03-17T00:00:00"/>
    <n v="0.77"/>
    <n v="0.7"/>
    <x v="151"/>
  </r>
  <r>
    <s v="YPF.Md.NLCa-54"/>
    <s v="NLCa-0054"/>
    <s v="Bombeo Mecánico"/>
    <s v="NORTE"/>
    <s v="OPERACIONES MENDOZA NORTE"/>
    <s v="MGS Zona II"/>
    <s v="LCA- 01"/>
    <s v="Malargue"/>
    <s v="Produciendo"/>
    <x v="11"/>
    <n v="1000"/>
    <d v="2020-03-17T00:00:00"/>
    <n v="6.88"/>
    <n v="1.1100000000000001"/>
    <x v="152"/>
  </r>
  <r>
    <s v="YPF.Md.NLCa-57"/>
    <s v="NLCa-0057"/>
    <s v="Bombeo Mecánico"/>
    <s v="NORTE"/>
    <s v="OPERACIONES MENDOZA NORTE"/>
    <s v="MGS Zona II"/>
    <s v="LCA- 01"/>
    <s v="Malargue"/>
    <s v="Produciendo"/>
    <x v="12"/>
    <n v="640"/>
    <d v="2020-03-10T00:00:00"/>
    <n v="36.15"/>
    <n v="0.61"/>
    <x v="153"/>
  </r>
  <r>
    <s v="YPF.Md.NLCa.a-82"/>
    <s v="NLCa-82"/>
    <s v="Inyección"/>
    <s v="NORTE"/>
    <s v="OPERACIONES MENDOZA NORTE"/>
    <s v="MGS Zona II"/>
    <s v="PTC"/>
    <s v="Malargue"/>
    <s v="Produciendo"/>
    <x v="9"/>
    <n v="0"/>
    <d v="2019-11-29T00:00:00"/>
    <n v="0"/>
    <n v="0"/>
    <x v="4"/>
  </r>
  <r>
    <s v="YPF.Md.NLCa-88"/>
    <s v="NLCa-0088"/>
    <s v="Bombeo Mecánico"/>
    <s v="NORTE"/>
    <s v="OPERACIONES MENDOZA NORTE"/>
    <s v="MGS Zona II"/>
    <s v="LCA- 01"/>
    <s v="Malargue"/>
    <s v="Produciendo"/>
    <x v="11"/>
    <n v="2492"/>
    <d v="2020-03-16T00:00:00"/>
    <n v="33"/>
    <n v="1.88"/>
    <x v="154"/>
  </r>
  <r>
    <s v="YPF.Md.NLCa-127"/>
    <s v="NLCa-0127"/>
    <s v="Surgente"/>
    <s v="NORTE"/>
    <s v="OPERACIONES MENDOZA NORTE"/>
    <s v="MGS Zona II"/>
    <s v="LCA- 02"/>
    <s v="Malargue"/>
    <s v="Produciendo"/>
    <x v="12"/>
    <n v="1000"/>
    <d v="2020-03-17T00:00:00"/>
    <n v="24.26"/>
    <n v="0.24"/>
    <x v="155"/>
  </r>
  <r>
    <s v="YPF.Md.NCF-53"/>
    <s v="NCF-0053"/>
    <s v="Inyección"/>
    <s v="NORTE"/>
    <s v="OPERACIONES MENDOZA NORTE"/>
    <s v="MGS Zona I"/>
    <s v="CF- 02"/>
    <s v="Malargue"/>
    <s v="Produciendo"/>
    <x v="3"/>
    <n v="0"/>
    <d v="2019-12-27T00:00:00"/>
    <n v="0"/>
    <n v="0"/>
    <x v="4"/>
  </r>
  <r>
    <s v="YPF.Md.NCF-54"/>
    <s v="NCF-0054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56"/>
    <s v="NCF-0056"/>
    <s v="Bombeo Mecánico"/>
    <s v="NORTE"/>
    <s v="OPERACIONES MENDOZA NORTE"/>
    <s v="MGS Zona I"/>
    <s v="CF- 02"/>
    <s v="Malargue"/>
    <s v="Produciendo"/>
    <x v="1"/>
    <n v="20"/>
    <d v="2019-12-09T00:00:00"/>
    <n v="17.14"/>
    <n v="0.15"/>
    <x v="156"/>
  </r>
  <r>
    <s v="YPF.Md.NCF.a-60"/>
    <s v="NCF-0060"/>
    <s v="Bombeo Mecánico"/>
    <s v="NORTE"/>
    <s v="OPERACIONES MENDOZA NORTE"/>
    <s v="MGS Zona I"/>
    <s v="CF- 01"/>
    <s v="Malargue"/>
    <s v="Produciendo"/>
    <x v="2"/>
    <n v="10"/>
    <d v="2020-02-28T00:00:00"/>
    <n v="68.95"/>
    <n v="1.04"/>
    <x v="157"/>
  </r>
  <r>
    <s v="YPF.Md.NCF-81"/>
    <s v="NCF-0081"/>
    <s v="Electro Sumergible"/>
    <s v="NORTE"/>
    <s v="OPERACIONES MENDOZA NORTE"/>
    <s v="MGS Zona I"/>
    <s v="CF- 01"/>
    <s v="Malargue"/>
    <s v="Produciendo"/>
    <x v="2"/>
    <n v="10"/>
    <d v="2020-02-06T00:00:00"/>
    <n v="91.77"/>
    <n v="0.93"/>
    <x v="158"/>
  </r>
  <r>
    <s v="YPF.Md.NCF-88"/>
    <s v="NCF-0088"/>
    <s v="Bombeo Mecánico"/>
    <s v="NORTE"/>
    <s v="OPERACIONES MENDOZA NORTE"/>
    <s v="MGS Zona I"/>
    <s v="CF- 01"/>
    <s v="Malargue"/>
    <s v="Produciendo"/>
    <x v="2"/>
    <n v="10"/>
    <d v="2020-02-06T00:00:00"/>
    <n v="10.4"/>
    <n v="0.1"/>
    <x v="159"/>
  </r>
  <r>
    <s v="YPF.Md.NCF-113"/>
    <s v="NCF-0113"/>
    <s v="Bombeo Mecánico"/>
    <s v="NORTE"/>
    <s v="OPERACIONES MENDOZA NORTE"/>
    <s v="MGS Zona I"/>
    <s v="CF- 02"/>
    <s v="Malargue"/>
    <s v="Produciendo"/>
    <x v="1"/>
    <n v="285"/>
    <d v="2019-11-25T00:00:00"/>
    <n v="26.64"/>
    <n v="0.26"/>
    <x v="160"/>
  </r>
  <r>
    <s v="YPF.Md.NCFS.x-2"/>
    <s v="NCFS.x-2"/>
    <s v="Bombeo Mecánico"/>
    <s v="NORTE"/>
    <s v="OPERACIONES MENDOZA NORTE"/>
    <s v="MGS Zona I"/>
    <s v="CF- 03"/>
    <s v="Malargue"/>
    <s v="Produciendo"/>
    <x v="4"/>
    <n v="23535"/>
    <d v="2020-03-07T00:00:00"/>
    <n v="36.630000000000003"/>
    <n v="0.04"/>
    <x v="161"/>
  </r>
  <r>
    <s v="YPF.Md.NALAt.x-1"/>
    <s v="NALAt-0001"/>
    <s v="Electro Sumergible"/>
    <s v="NORTE"/>
    <s v="OPERACIONES MENDOZA NORTE"/>
    <s v="MGS Zona I"/>
    <s v="CF- 03"/>
    <s v="Malargue"/>
    <s v="Produciendo"/>
    <x v="4"/>
    <n v="10"/>
    <d v="2020-02-24T00:00:00"/>
    <n v="214.95"/>
    <n v="0.21"/>
    <x v="162"/>
  </r>
  <r>
    <s v="YPF.Md.NLAS-44"/>
    <s v="NLAS-44"/>
    <s v="Cavidad Progresiva"/>
    <s v="NORTE"/>
    <s v="OPERACIONES MENDOZA NORTE"/>
    <s v="MGS Zona II"/>
    <s v="LAS1(LAS23)"/>
    <s v="Malargue"/>
    <s v="Produciendo"/>
    <x v="7"/>
    <n v="60"/>
    <d v="2020-02-20T00:00:00"/>
    <n v="168.29"/>
    <n v="0.98"/>
    <x v="163"/>
  </r>
  <r>
    <s v="YPF.Md.NMDM-84"/>
    <s v="NMDM-84"/>
    <s v="Bombeo Mecánico"/>
    <s v="NORTE"/>
    <s v="OPERACIONES MENDOZA NORTE"/>
    <s v="MGS Zona II"/>
    <s v="MDMO"/>
    <s v="Malargue"/>
    <s v="Produciendo"/>
    <x v="17"/>
    <n v="2102"/>
    <d v="2020-02-18T00:00:00"/>
    <n v="1.4"/>
    <n v="1.64"/>
    <x v="164"/>
  </r>
  <r>
    <s v="YPF.Md.NLAS-45"/>
    <s v="NLAS-45"/>
    <s v="Cavidad Progresiva"/>
    <s v="NORTE"/>
    <s v="OPERACIONES MENDOZA NORTE"/>
    <s v="MGS Zona II"/>
    <s v="LAS- 01"/>
    <s v="Malargue"/>
    <s v="Produciendo"/>
    <x v="6"/>
    <n v="10"/>
    <d v="2020-02-18T00:00:00"/>
    <n v="74.16"/>
    <n v="4.5599999999999996"/>
    <x v="165"/>
  </r>
  <r>
    <s v="YPF.Md.NLAS-46"/>
    <s v="NLAS-46"/>
    <s v="Cavidad Progresiva"/>
    <s v="NORTE"/>
    <s v="OPERACIONES MENDOZA NORTE"/>
    <s v="MGS Zona II"/>
    <s v="LAS- 01"/>
    <s v="Malargue"/>
    <s v="Produciendo"/>
    <x v="6"/>
    <n v="7"/>
    <d v="2020-03-13T00:00:00"/>
    <n v="168.91"/>
    <n v="8.32"/>
    <x v="166"/>
  </r>
  <r>
    <s v="YPF.Md.NCF-120"/>
    <s v="NCF-120"/>
    <s v="Bombeo Mecánico"/>
    <s v="NORTE"/>
    <s v="OPERACIONES MENDOZA NORTE"/>
    <s v="MGS Zona I"/>
    <s v="CF- 01"/>
    <s v="Malargue"/>
    <s v="Produciendo"/>
    <x v="2"/>
    <n v="133"/>
    <d v="2020-02-06T00:00:00"/>
    <n v="20.95"/>
    <n v="3.65"/>
    <x v="167"/>
  </r>
  <r>
    <s v="YPF.Md.NLAS.a-43"/>
    <s v="NLAS-0043"/>
    <s v="Inyección"/>
    <s v="NORTE"/>
    <s v="OPERACIONES MENDOZA NORTE"/>
    <s v="MGS Zona II"/>
    <s v="PTC"/>
    <s v="Malargue"/>
    <s v="Produciendo"/>
    <x v="21"/>
    <n v="0"/>
    <d v="2019-03-29T00:00:00"/>
    <n v="0"/>
    <n v="0"/>
    <x v="4"/>
  </r>
  <r>
    <s v="YPF.Md.NLAS-49"/>
    <s v="NLAS-49"/>
    <s v="Bombeo Mecánico"/>
    <s v="NORTE"/>
    <s v="OPERACIONES MENDOZA NORTE"/>
    <s v="MGS Zona II"/>
    <s v="LAS- 01"/>
    <s v="Malargue"/>
    <s v="Produciendo"/>
    <x v="6"/>
    <n v="5"/>
    <d v="2020-02-26T00:00:00"/>
    <n v="16.2"/>
    <n v="2.0499999999999998"/>
    <x v="168"/>
  </r>
  <r>
    <s v="YPF.Md.NLAS-48"/>
    <s v="NLAS-48"/>
    <s v="Cavidad Progresiva"/>
    <s v="NORTE"/>
    <s v="OPERACIONES MENDOZA NORTE"/>
    <s v="MGS Zona II"/>
    <s v="LAS- 01"/>
    <s v="Malargue"/>
    <s v="Produciendo"/>
    <x v="6"/>
    <n v="5"/>
    <d v="2020-03-04T00:00:00"/>
    <n v="189.62"/>
    <n v="14.82"/>
    <x v="169"/>
  </r>
  <r>
    <s v="YPF.Md.NLAS-47"/>
    <s v="NLAS-47"/>
    <s v="Cavidad Progresiva"/>
    <s v="NORTE"/>
    <s v="OPERACIONES MENDOZA NORTE"/>
    <s v="MGS Zona II"/>
    <s v="LAS1(LAS23)"/>
    <s v="Malargue"/>
    <s v="Produciendo"/>
    <x v="7"/>
    <n v="8"/>
    <d v="2020-02-23T00:00:00"/>
    <n v="41.06"/>
    <n v="8.8000000000000007"/>
    <x v="170"/>
  </r>
  <r>
    <s v="YPF.Md.NLAS-50"/>
    <s v="NLAS-50"/>
    <s v="Cavidad Progresiva"/>
    <s v="NORTE"/>
    <s v="OPERACIONES MENDOZA NORTE"/>
    <s v="MGS Zona II"/>
    <s v="LAS- 01"/>
    <s v="Malargue"/>
    <s v="Produciendo"/>
    <x v="6"/>
    <n v="5"/>
    <d v="2020-02-09T00:00:00"/>
    <n v="52.05"/>
    <n v="7.2"/>
    <x v="171"/>
  </r>
  <r>
    <s v="YPF.Md.NLAS-51"/>
    <s v="NLAS-51"/>
    <s v="Cavidad Progresiva"/>
    <s v="NORTE"/>
    <s v="OPERACIONES MENDOZA NORTE"/>
    <s v="MGS Zona II"/>
    <s v="LAS1(LAS23)"/>
    <s v="Malargue"/>
    <s v="Produciendo"/>
    <x v="7"/>
    <n v="3"/>
    <d v="2020-03-14T00:00:00"/>
    <n v="64.680000000000007"/>
    <n v="1.3"/>
    <x v="172"/>
  </r>
  <r>
    <s v="YPF.Md.NLAS-53"/>
    <s v="NLAS-53"/>
    <s v="Cavidad Progresiva"/>
    <s v="NORTE"/>
    <s v="OPERACIONES MENDOZA NORTE"/>
    <s v="MGS Zona II"/>
    <s v="LAS- 01"/>
    <s v="Malargue"/>
    <s v="Produciendo"/>
    <x v="6"/>
    <n v="12"/>
    <d v="2020-03-14T00:00:00"/>
    <n v="172"/>
    <n v="14.72"/>
    <x v="173"/>
  </r>
  <r>
    <s v="YPF.Md.NLAS-55"/>
    <s v="NLAS-55"/>
    <s v="Cavidad Progresiva"/>
    <s v="NORTE"/>
    <s v="OPERACIONES MENDOZA NORTE"/>
    <s v="MGS Zona II"/>
    <s v="LAS1(LAS23)"/>
    <s v="Malargue"/>
    <s v="Produciendo"/>
    <x v="7"/>
    <n v="5"/>
    <d v="2020-03-13T00:00:00"/>
    <n v="45.08"/>
    <n v="0.91"/>
    <x v="174"/>
  </r>
  <r>
    <s v="YPF.Md.NLAS-58"/>
    <s v="NLAS-58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LL-2001h"/>
    <s v="NLL-2001h"/>
    <s v="Cavidad Progresiva"/>
    <s v="NORTE"/>
    <s v="OPERACIONES MENDOZA NORTE"/>
    <s v="MGN Zona I"/>
    <s v="LLANCANELO"/>
    <s v="Malargue"/>
    <s v="Produciendo"/>
    <x v="22"/>
    <n v="29"/>
    <d v="2020-03-17T00:00:00"/>
    <n v="7.85"/>
    <n v="6.59"/>
    <x v="175"/>
  </r>
  <r>
    <s v="YPF.Md.NCF-112"/>
    <s v="NCF-0112"/>
    <s v="Cavidad Progresiva"/>
    <s v="NORTE"/>
    <s v="OPERACIONES MENDOZA NORTE"/>
    <s v="MGS Zona I"/>
    <s v="CF- 02"/>
    <s v="Malargue"/>
    <s v="Produciendo"/>
    <x v="1"/>
    <n v="10"/>
    <d v="2019-11-11T00:00:00"/>
    <n v="25.56"/>
    <n v="0.03"/>
    <x v="176"/>
  </r>
  <r>
    <s v="YPF.Md.NCF-122"/>
    <s v="NCF-122"/>
    <s v="Bombeo Mecánico"/>
    <s v="NORTE"/>
    <s v="OPERACIONES MENDOZA NORTE"/>
    <s v="MGS Zona I"/>
    <s v="CF- 01"/>
    <s v="Malargue"/>
    <s v="Produciendo"/>
    <x v="2"/>
    <n v="127"/>
    <d v="2020-03-09T00:00:00"/>
    <n v="32.17"/>
    <n v="5.48"/>
    <x v="177"/>
  </r>
  <r>
    <s v="YPF.Md.NCF-123"/>
    <s v="NCF-123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121"/>
    <s v="NCF-121"/>
    <s v="Bombeo Mecánico"/>
    <s v="NORTE"/>
    <s v="OPERACIONES MENDOZA NORTE"/>
    <s v="MGS Zona I"/>
    <s v="CF- 01"/>
    <s v="Malargue"/>
    <s v="Produciendo"/>
    <x v="2"/>
    <n v="1433.1"/>
    <d v="2020-03-15T00:00:00"/>
    <n v="19.5"/>
    <n v="22.51"/>
    <x v="178"/>
  </r>
  <r>
    <s v="YPF.Md.NCF-125"/>
    <s v="NCF-125"/>
    <s v="Bombeo Mecánico"/>
    <s v="NORTE"/>
    <s v="OPERACIONES MENDOZA NORTE"/>
    <s v="MGS Zona I"/>
    <s v="CF- 03"/>
    <s v="Malargue"/>
    <s v="Produciendo"/>
    <x v="4"/>
    <n v="1722.6"/>
    <d v="2020-02-05T00:00:00"/>
    <n v="1.78"/>
    <n v="1.35"/>
    <x v="87"/>
  </r>
  <r>
    <s v="UO.Md.NLL-1003"/>
    <s v="NLL-1003"/>
    <s v="Cavidad Progresiva"/>
    <s v="NORTE"/>
    <s v="OPERACIONES MENDOZA NORTE"/>
    <s v="MGN Zona I"/>
    <s v="LLANCANELO"/>
    <s v="Malargue"/>
    <s v="Produciendo"/>
    <x v="22"/>
    <n v="98.4"/>
    <d v="2019-12-14T00:00:00"/>
    <n v="22.27"/>
    <n v="1.41"/>
    <x v="179"/>
  </r>
  <r>
    <s v="UO.Md.NLL-1006"/>
    <s v="NLL-1006"/>
    <s v="Cavidad Progresiva"/>
    <s v="NORTE"/>
    <s v="OPERACIONES MENDOZA NORTE"/>
    <s v="MGN Zona I"/>
    <s v="LLANCANELO"/>
    <s v="Malargue"/>
    <s v="Produciendo"/>
    <x v="22"/>
    <n v="423"/>
    <d v="2020-03-04T00:00:00"/>
    <n v="1.24"/>
    <n v="4.28"/>
    <x v="180"/>
  </r>
  <r>
    <s v="UO.Md.NLL-1007"/>
    <s v="NLL-1007"/>
    <s v="Cavidad Progresiva"/>
    <s v="NORTE"/>
    <s v="OPERACIONES MENDOZA NORTE"/>
    <s v="MGN Zona I"/>
    <s v="LLANCANELO"/>
    <s v="Malargue"/>
    <s v="Produciendo"/>
    <x v="23"/>
    <n v="40.22"/>
    <d v="2020-02-29T00:00:00"/>
    <n v="0.02"/>
    <n v="2.33"/>
    <x v="181"/>
  </r>
  <r>
    <s v="YPF.Md.NCF-127"/>
    <s v="NCF-127"/>
    <s v="Bombeo Mecánico"/>
    <s v="NORTE"/>
    <s v="OPERACIONES MENDOZA NORTE"/>
    <s v="MGS Zona I"/>
    <s v="CF- 03"/>
    <s v="Malargue"/>
    <s v="Produciendo"/>
    <x v="4"/>
    <n v="1198"/>
    <d v="2020-02-09T00:00:00"/>
    <n v="2.65"/>
    <n v="1.06"/>
    <x v="182"/>
  </r>
  <r>
    <s v="YPF.Md.NCF-128"/>
    <s v="NCF-128"/>
    <s v="Bombeo Mecánico"/>
    <s v="NORTE"/>
    <s v="OPERACIONES MENDOZA NORTE"/>
    <s v="MGS Zona I"/>
    <s v="CF- 03"/>
    <s v="Malargue"/>
    <s v="Produciendo"/>
    <x v="4"/>
    <n v="235.43"/>
    <d v="2020-01-21T00:00:00"/>
    <n v="13.38"/>
    <n v="1.37"/>
    <x v="183"/>
  </r>
  <r>
    <s v="YPF.Md.NMDM.a-87(I)"/>
    <s v="NMDM-87(I)"/>
    <s v="Bombeo Mecánico"/>
    <s v="NORTE"/>
    <s v="OPERACIONES MENDOZA NORTE"/>
    <s v="MGS Zona II"/>
    <s v="MDMO"/>
    <s v="Malargue"/>
    <s v="Produciendo"/>
    <x v="17"/>
    <n v="130"/>
    <d v="2020-03-06T00:00:00"/>
    <n v="0.32"/>
    <n v="1.28"/>
    <x v="184"/>
  </r>
  <r>
    <s v="YPF.Md.NCF-129"/>
    <s v="NCF-129"/>
    <s v="Bombeo Mecánico"/>
    <s v="NORTE"/>
    <s v="OPERACIONES MENDOZA NORTE"/>
    <s v="MGS Zona I"/>
    <s v="CF- 03"/>
    <s v="Malargue"/>
    <s v="Produciendo"/>
    <x v="4"/>
    <n v="821.25"/>
    <d v="2020-01-27T00:00:00"/>
    <n v="9.93"/>
    <n v="0.55000000000000004"/>
    <x v="185"/>
  </r>
  <r>
    <s v="YPF.Md.NCF-130"/>
    <s v="NCF-130"/>
    <s v="Bombeo Mecánico"/>
    <s v="NORTE"/>
    <s v="OPERACIONES MENDOZA NORTE"/>
    <s v="MGS Zona I"/>
    <s v="CF- 03"/>
    <s v="Malargue"/>
    <s v="Produciendo"/>
    <x v="4"/>
    <n v="257.92"/>
    <d v="2020-03-02T00:00:00"/>
    <n v="18.55"/>
    <n v="2.2000000000000002"/>
    <x v="186"/>
  </r>
  <r>
    <s v="YPF.Md.NCD.a-18"/>
    <s v="NCD-18"/>
    <s v="Bombeo Mecánico"/>
    <s v="NORTE"/>
    <s v="OPERACIONES MENDOZA NORTE"/>
    <s v="MGS Zona II"/>
    <s v="CD"/>
    <s v="Malargue"/>
    <s v="Produciendo"/>
    <x v="0"/>
    <n v="0"/>
    <d v="2020-03-08T00:00:00"/>
    <n v="2.93"/>
    <n v="0.97"/>
    <x v="187"/>
  </r>
  <r>
    <s v="YPF.Md.NCF-131"/>
    <s v="NCF-131"/>
    <s v="Bombeo Mecánico"/>
    <s v="NORTE"/>
    <s v="OPERACIONES MENDOZA NORTE"/>
    <s v="MGS Zona I"/>
    <s v="CF- 02"/>
    <s v="Malargue"/>
    <s v="Produciendo"/>
    <x v="1"/>
    <n v="484"/>
    <d v="2020-01-18T00:00:00"/>
    <n v="2.0299999999999998"/>
    <n v="10.53"/>
    <x v="188"/>
  </r>
  <r>
    <s v="YPF.Md.NMDM-88"/>
    <s v="NMDM-88"/>
    <s v="Bombeo Mecánico"/>
    <s v="NORTE"/>
    <s v="OPERACIONES MENDOZA NORTE"/>
    <s v="MGS Zona II"/>
    <s v="MDMO"/>
    <s v="Malargue"/>
    <s v="Produciendo"/>
    <x v="17"/>
    <n v="125"/>
    <d v="2020-03-17T00:00:00"/>
    <n v="0.71"/>
    <n v="2.39"/>
    <x v="189"/>
  </r>
  <r>
    <s v="YPF.Md.NLAS-59"/>
    <s v="NLAS-59"/>
    <s v="Inyección"/>
    <s v="NORTE"/>
    <s v="OPERACIONES MENDOZA NORTE"/>
    <s v="MGS Zona II"/>
    <s v="LAS1(LAS23)"/>
    <s v="Malargue"/>
    <s v="Produciendo"/>
    <x v="5"/>
    <n v="0"/>
    <d v="2020-02-13T00:00:00"/>
    <n v="0"/>
    <n v="0"/>
    <x v="4"/>
  </r>
  <r>
    <s v="YPF.Md.NLAS-60"/>
    <s v="NLAS-60"/>
    <s v="Cavidad Progresiva"/>
    <s v="NORTE"/>
    <s v="OPERACIONES MENDOZA NORTE"/>
    <s v="MGS Zona II"/>
    <s v="LAS1(LAS23)"/>
    <s v="Malargue"/>
    <s v="Produciendo"/>
    <x v="7"/>
    <n v="8"/>
    <d v="2020-03-14T00:00:00"/>
    <n v="58.12"/>
    <n v="9.0500000000000007"/>
    <x v="190"/>
  </r>
  <r>
    <s v="YPF.Md.NLAS-62"/>
    <s v="NLAS-62"/>
    <s v="Cavidad Progresiva"/>
    <s v="NORTE"/>
    <s v="OPERACIONES MENDOZA NORTE"/>
    <s v="MGS Zona II"/>
    <s v="LAS- 01"/>
    <s v="Malargue"/>
    <s v="Produciendo"/>
    <x v="6"/>
    <n v="9"/>
    <d v="2020-03-04T00:00:00"/>
    <n v="63.99"/>
    <n v="5.12"/>
    <x v="191"/>
  </r>
  <r>
    <s v="YPF.Md.NLVo.es-1"/>
    <s v="NLVo-1"/>
    <s v="Bombeo Mecánico"/>
    <s v="NORTE"/>
    <s v="OPERACIONES MENDOZA NORTE"/>
    <s v="MGS Zona II"/>
    <s v="MDM(RG28)"/>
    <s v="Malargue"/>
    <s v="Produciendo"/>
    <x v="16"/>
    <n v="2285"/>
    <d v="2020-03-16T00:00:00"/>
    <n v="75.97"/>
    <n v="5.98"/>
    <x v="192"/>
  </r>
  <r>
    <s v="YPF.Md.NCF-132"/>
    <s v="NCF-132"/>
    <s v="Inyección"/>
    <s v="NORTE"/>
    <s v="OPERACIONES MENDOZA NORTE"/>
    <s v="MGS Zona I"/>
    <s v="CF- 02"/>
    <s v="Malargue"/>
    <s v="Produciendo"/>
    <x v="3"/>
    <n v="0"/>
    <d v="2019-12-27T00:00:00"/>
    <n v="0"/>
    <n v="0"/>
    <x v="4"/>
  </r>
  <r>
    <s v="YPF.Md.NCF-133"/>
    <s v="NCF-133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134"/>
    <s v="NCF-134"/>
    <s v="Bombeo Mecánico"/>
    <s v="NORTE"/>
    <s v="OPERACIONES MENDOZA NORTE"/>
    <s v="MGS Zona I"/>
    <s v="CF- 02"/>
    <s v="Malargue"/>
    <s v="Produciendo"/>
    <x v="1"/>
    <n v="6367"/>
    <d v="2019-10-02T00:00:00"/>
    <n v="13.09"/>
    <n v="7.37"/>
    <x v="193"/>
  </r>
  <r>
    <s v="YPF.Md.NCF-136"/>
    <s v="NCF-136"/>
    <s v="Bombeo Mecánico"/>
    <s v="NORTE"/>
    <s v="OPERACIONES MENDOZA NORTE"/>
    <s v="MGS Zona I"/>
    <s v="CF- 01"/>
    <s v="Malargue"/>
    <s v="Produciendo"/>
    <x v="2"/>
    <n v="10"/>
    <d v="2020-03-07T00:00:00"/>
    <n v="1.27"/>
    <n v="3.99"/>
    <x v="194"/>
  </r>
  <r>
    <s v="YPF.Md.NCF-135"/>
    <s v="NCF-135"/>
    <s v="Inyección"/>
    <s v="NORTE"/>
    <s v="OPERACIONES MENDOZA NORTE"/>
    <s v="MGS Zona I"/>
    <s v="CF- 02"/>
    <s v="Malargue"/>
    <s v="Produciendo"/>
    <x v="3"/>
    <n v="0"/>
    <d v="2019-12-27T00:00:00"/>
    <n v="0"/>
    <n v="0"/>
    <x v="4"/>
  </r>
  <r>
    <s v="YPF.Md.NCFS.a-4"/>
    <s v="NCFS.a-4"/>
    <s v="Bombeo Mecánico"/>
    <s v="NORTE"/>
    <s v="OPERACIONES MENDOZA NORTE"/>
    <s v="MGS Zona I"/>
    <s v="CF- 03"/>
    <s v="Malargue"/>
    <s v="Produciendo"/>
    <x v="4"/>
    <n v="44173.95"/>
    <d v="2020-03-18T00:00:00"/>
    <n v="14.12"/>
    <n v="4.4800000000000004"/>
    <x v="195"/>
  </r>
  <r>
    <s v="YPF.Md.NLAS-64"/>
    <s v="NLAS-64"/>
    <s v="Cavidad Progresiva"/>
    <s v="NORTE"/>
    <s v="OPERACIONES MENDOZA NORTE"/>
    <s v="MGS Zona II"/>
    <s v="LAS1(LAS23)"/>
    <s v="Malargue"/>
    <s v="Produciendo"/>
    <x v="7"/>
    <n v="5"/>
    <d v="2020-02-18T00:00:00"/>
    <n v="193.05"/>
    <n v="3.91"/>
    <x v="196"/>
  </r>
  <r>
    <s v="YPF.Md.NLAS-65"/>
    <s v="NLAS-65"/>
    <s v="Cavidad Progresiva"/>
    <s v="NORTE"/>
    <s v="OPERACIONES MENDOZA NORTE"/>
    <s v="MGS Zona II"/>
    <s v="LAS1(LAS23)"/>
    <s v="Malargue"/>
    <s v="Produciendo"/>
    <x v="7"/>
    <n v="6"/>
    <d v="2020-03-14T00:00:00"/>
    <n v="82.65"/>
    <n v="4.3499999999999996"/>
    <x v="197"/>
  </r>
  <r>
    <s v="YPF.Md.NLAS-63"/>
    <s v="NLAS-63"/>
    <s v="Cavidad Progresiva"/>
    <s v="NORTE"/>
    <s v="OPERACIONES MENDOZA NORTE"/>
    <s v="MGS Zona II"/>
    <s v="LAS1(LAS23)"/>
    <s v="Malargue"/>
    <s v="Produciendo"/>
    <x v="7"/>
    <n v="6"/>
    <d v="2020-03-13T00:00:00"/>
    <n v="166.63"/>
    <n v="2.3199999999999998"/>
    <x v="198"/>
  </r>
  <r>
    <s v="YPF.Md.NRG-9(I)"/>
    <s v="NRG-9(I)"/>
    <s v="Bombeo Mecánico"/>
    <s v="NORTE"/>
    <s v="OPERACIONES MENDOZA NORTE"/>
    <s v="MGS Zona II"/>
    <s v="RG"/>
    <s v="Malargue"/>
    <s v="Produciendo"/>
    <x v="24"/>
    <n v="110"/>
    <d v="2020-03-17T00:00:00"/>
    <n v="74.709999999999994"/>
    <n v="1.29"/>
    <x v="199"/>
  </r>
  <r>
    <s v="YPF.Md.NRG-15(I)"/>
    <s v="NRG-15(I)"/>
    <s v="Bombeo Mecánico"/>
    <s v="NORTE"/>
    <s v="OPERACIONES MENDOZA NORTE"/>
    <s v="MGS Zona II"/>
    <s v="RG"/>
    <s v="Malargue"/>
    <s v="Produciendo"/>
    <x v="24"/>
    <n v="110"/>
    <d v="2020-03-11T00:00:00"/>
    <n v="12.24"/>
    <n v="1.06"/>
    <x v="200"/>
  </r>
  <r>
    <s v="YPF.Md.NLAS-66"/>
    <s v="NLAS-66"/>
    <s v="Cavidad Progresiva"/>
    <s v="NORTE"/>
    <s v="OPERACIONES MENDOZA NORTE"/>
    <s v="MGS Zona II"/>
    <s v="LAS- 01"/>
    <s v="Malargue"/>
    <s v="Produciendo"/>
    <x v="6"/>
    <n v="6"/>
    <d v="2020-03-04T00:00:00"/>
    <n v="56.8"/>
    <n v="4.62"/>
    <x v="201"/>
  </r>
  <r>
    <s v="YPF.Md.NCF-137"/>
    <s v="NCF-137"/>
    <s v="Bombeo Mecánico"/>
    <s v="NORTE"/>
    <s v="OPERACIONES MENDOZA NORTE"/>
    <s v="MGS Zona I"/>
    <s v="CF- 02"/>
    <s v="Malargue"/>
    <s v="Produciendo"/>
    <x v="1"/>
    <n v="2474"/>
    <d v="2020-01-18T00:00:00"/>
    <n v="2.75"/>
    <n v="2.71"/>
    <x v="202"/>
  </r>
  <r>
    <s v="YPF.Md.NLAS-67"/>
    <s v="NLAS-67"/>
    <s v="Cavidad Progresiva"/>
    <s v="NORTE"/>
    <s v="OPERACIONES MENDOZA NORTE"/>
    <s v="MGS Zona II"/>
    <s v="LAS- 01"/>
    <s v="Malargue"/>
    <s v="Produciendo"/>
    <x v="6"/>
    <n v="19.2"/>
    <d v="2020-03-17T00:00:00"/>
    <n v="137.44999999999999"/>
    <n v="12.72"/>
    <x v="203"/>
  </r>
  <r>
    <s v="YPF.Md.NCF-152"/>
    <s v="NCF-152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LAS-68"/>
    <s v="NLAS-68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CF-140"/>
    <s v="NCF-140"/>
    <s v="Bombeo Mecánico"/>
    <s v="NORTE"/>
    <s v="OPERACIONES MENDOZA NORTE"/>
    <s v="MGS Zona I"/>
    <s v="CF- 02"/>
    <s v="Malargue"/>
    <s v="Produciendo"/>
    <x v="1"/>
    <n v="8913"/>
    <d v="2019-10-21T00:00:00"/>
    <n v="3.57"/>
    <n v="3.2"/>
    <x v="204"/>
  </r>
  <r>
    <s v="YPF.Md.NLAS-69"/>
    <s v="NLAS-69"/>
    <s v="Cavidad Progresiva"/>
    <s v="NORTE"/>
    <s v="OPERACIONES MENDOZA NORTE"/>
    <s v="MGS Zona II"/>
    <s v="LAS- 01"/>
    <s v="Malargue"/>
    <s v="Produciendo"/>
    <x v="6"/>
    <n v="4"/>
    <d v="2020-02-08T00:00:00"/>
    <n v="37.200000000000003"/>
    <n v="8.26"/>
    <x v="205"/>
  </r>
  <r>
    <s v="YPF.Md.NLAS-70"/>
    <s v="NLAS-70"/>
    <s v="Cavidad Progresiva"/>
    <s v="NORTE"/>
    <s v="OPERACIONES MENDOZA NORTE"/>
    <s v="MGS Zona II"/>
    <s v="LAS1(LAS23)"/>
    <s v="Malargue"/>
    <s v="Produciendo"/>
    <x v="7"/>
    <n v="5"/>
    <d v="2020-03-15T00:00:00"/>
    <n v="32.32"/>
    <n v="6.93"/>
    <x v="206"/>
  </r>
  <r>
    <s v="YPF.Md.NCF-151"/>
    <s v="NCF-151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142"/>
    <s v="NCF-142"/>
    <s v="Bombeo Mecánico"/>
    <s v="NORTE"/>
    <s v="OPERACIONES MENDOZA NORTE"/>
    <s v="MGS Zona I"/>
    <s v="CF- 02"/>
    <s v="Malargue"/>
    <s v="Produciendo"/>
    <x v="1"/>
    <n v="2297"/>
    <d v="2019-12-30T00:00:00"/>
    <n v="50.38"/>
    <n v="5.0999999999999996"/>
    <x v="207"/>
  </r>
  <r>
    <s v="YPF.Md.NCF-143"/>
    <s v="NCF-143"/>
    <s v="Bombeo Mecánico"/>
    <s v="NORTE"/>
    <s v="OPERACIONES MENDOZA NORTE"/>
    <s v="MGS Zona I"/>
    <s v="CF- 01"/>
    <s v="Malargue"/>
    <s v="Produciendo"/>
    <x v="2"/>
    <n v="6748"/>
    <d v="2020-03-18T00:00:00"/>
    <n v="0.08"/>
    <n v="4.96"/>
    <x v="208"/>
  </r>
  <r>
    <s v="YPF.Md.NLAS-71"/>
    <s v="NLAS-71"/>
    <s v="Cavidad Progresiva"/>
    <s v="NORTE"/>
    <s v="OPERACIONES MENDOZA NORTE"/>
    <s v="MGS Zona II"/>
    <s v="LAS1(LAS23)"/>
    <s v="Malargue"/>
    <s v="Produciendo"/>
    <x v="7"/>
    <n v="9"/>
    <d v="2020-03-13T00:00:00"/>
    <n v="222.92"/>
    <n v="7.91"/>
    <x v="209"/>
  </r>
  <r>
    <s v="YPF.Md.NCF-153"/>
    <s v="NCF-153"/>
    <s v="Bombeo Mecánico"/>
    <s v="NORTE"/>
    <s v="OPERACIONES MENDOZA NORTE"/>
    <s v="MGS Zona I"/>
    <s v="CF- 01"/>
    <s v="Malargue"/>
    <s v="Produciendo"/>
    <x v="2"/>
    <n v="293"/>
    <d v="2020-03-07T00:00:00"/>
    <n v="29.49"/>
    <n v="4.16"/>
    <x v="210"/>
  </r>
  <r>
    <s v="YPF.Md.NMDM.a-90"/>
    <s v="NMDM.a-90"/>
    <s v="Bombeo Mecánico"/>
    <s v="NORTE"/>
    <s v="OPERACIONES MENDOZA NORTE"/>
    <s v="MGS Zona II"/>
    <s v="MDMO"/>
    <s v="Malargue"/>
    <s v="Produciendo"/>
    <x v="17"/>
    <n v="260"/>
    <d v="2020-03-07T00:00:00"/>
    <n v="0.17"/>
    <n v="1.23"/>
    <x v="211"/>
  </r>
  <r>
    <s v="YPF.Md.NCF-144"/>
    <s v="NCF-144"/>
    <s v="Bombeo Mecánico"/>
    <s v="NORTE"/>
    <s v="OPERACIONES MENDOZA NORTE"/>
    <s v="MGS Zona I"/>
    <s v="CF- 01"/>
    <s v="Malargue"/>
    <s v="Produciendo"/>
    <x v="2"/>
    <n v="6566"/>
    <d v="2020-01-24T00:00:00"/>
    <n v="1.03"/>
    <n v="10.28"/>
    <x v="212"/>
  </r>
  <r>
    <s v="YPF.Md.NCF-146"/>
    <s v="NCF-146"/>
    <s v="Bombeo Mecánico"/>
    <s v="NORTE"/>
    <s v="OPERACIONES MENDOZA NORTE"/>
    <s v="MGS Zona I"/>
    <s v="CF- 02"/>
    <s v="Malargue"/>
    <s v="Produciendo"/>
    <x v="1"/>
    <n v="3411"/>
    <d v="2019-12-30T00:00:00"/>
    <n v="11.37"/>
    <n v="2.2599999999999998"/>
    <x v="213"/>
  </r>
  <r>
    <s v="YPF.Md.NCF.a-148"/>
    <s v="NCF-148"/>
    <s v="Bombeo Mecánico"/>
    <s v="NORTE"/>
    <s v="OPERACIONES MENDOZA NORTE"/>
    <s v="MGS Zona I"/>
    <s v="CF- 02"/>
    <s v="Malargue"/>
    <s v="Produciendo"/>
    <x v="1"/>
    <n v="335.61"/>
    <d v="2019-12-16T00:00:00"/>
    <n v="1.98"/>
    <n v="4.13"/>
    <x v="214"/>
  </r>
  <r>
    <s v="YPF.Md.NCFS.a-5"/>
    <s v="NCFS.a-5"/>
    <s v="Bombeo Mecánico"/>
    <s v="NORTE"/>
    <s v="OPERACIONES MENDOZA NORTE"/>
    <s v="MGS Zona I"/>
    <s v="CF- 03"/>
    <s v="Malargue"/>
    <s v="Produciendo"/>
    <x v="4"/>
    <n v="19807"/>
    <d v="2020-03-07T00:00:00"/>
    <n v="13.89"/>
    <n v="4.8499999999999996"/>
    <x v="215"/>
  </r>
  <r>
    <s v="YPF.Md.NCF-154"/>
    <s v="NCF-154"/>
    <s v="Bombeo Mecánico"/>
    <s v="NORTE"/>
    <s v="OPERACIONES MENDOZA NORTE"/>
    <s v="MGS Zona I"/>
    <s v="CF- 01"/>
    <s v="Malargue"/>
    <s v="Produciendo"/>
    <x v="2"/>
    <n v="795"/>
    <d v="2020-03-11T00:00:00"/>
    <n v="3.36"/>
    <n v="1.86"/>
    <x v="216"/>
  </r>
  <r>
    <s v="YPF.Md.NCF-157"/>
    <s v="NCF-157"/>
    <s v="Bombeo Mecánico"/>
    <s v="NORTE"/>
    <s v="OPERACIONES MENDOZA NORTE"/>
    <s v="MGS Zona I"/>
    <s v="CF- 01"/>
    <s v="Malargue"/>
    <s v="Produciendo"/>
    <x v="2"/>
    <n v="195"/>
    <d v="2020-03-14T00:00:00"/>
    <n v="35.06"/>
    <n v="2.02"/>
    <x v="217"/>
  </r>
  <r>
    <s v="YPF.Md.NCF-155"/>
    <s v="NCF-155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156"/>
    <s v="NCF-156"/>
    <s v="Bombeo Mecánico"/>
    <s v="NORTE"/>
    <s v="OPERACIONES MENDOZA NORTE"/>
    <s v="MGS Zona I"/>
    <s v="CF- 01"/>
    <s v="Malargue"/>
    <s v="Produciendo"/>
    <x v="2"/>
    <n v="273"/>
    <d v="2020-03-14T00:00:00"/>
    <n v="12.83"/>
    <n v="4.88"/>
    <x v="218"/>
  </r>
  <r>
    <s v="YPF.Md.NCF.a-149"/>
    <s v="NCF-149"/>
    <s v="Bombeo Mecánico"/>
    <s v="NORTE"/>
    <s v="OPERACIONES MENDOZA NORTE"/>
    <s v="MGS Zona I"/>
    <s v="CF- 01"/>
    <s v="Malargue"/>
    <s v="Produciendo"/>
    <x v="2"/>
    <n v="132"/>
    <d v="2020-03-12T00:00:00"/>
    <n v="1.8"/>
    <n v="3.96"/>
    <x v="219"/>
  </r>
  <r>
    <s v="YPF.Md.NCF-163"/>
    <s v="NCF-163"/>
    <s v="Bombeo Mecánico"/>
    <s v="NORTE"/>
    <s v="OPERACIONES MENDOZA NORTE"/>
    <s v="MGS Zona I"/>
    <s v="CF- 03"/>
    <s v="Malargue"/>
    <s v="Produciendo"/>
    <x v="4"/>
    <n v="26472.49"/>
    <d v="2020-03-12T00:00:00"/>
    <n v="2.69"/>
    <n v="2.86"/>
    <x v="220"/>
  </r>
  <r>
    <s v="YPF.Md.NCF-163"/>
    <s v="NCF-163"/>
    <s v="Bombeo Mecánico"/>
    <s v="NORTE"/>
    <s v="OPERACIONES MENDOZA NORTE"/>
    <s v="MGS Zona I"/>
    <s v="CF- 03"/>
    <s v="Malargue"/>
    <s v="Produciendo"/>
    <x v="4"/>
    <n v="26472.49"/>
    <d v="2020-03-12T00:00:00"/>
    <n v="2.69"/>
    <n v="2.86"/>
    <x v="220"/>
  </r>
  <r>
    <s v="YPF.Md.NRG-38"/>
    <s v="NRG-38"/>
    <s v="Bombeo Mecánico"/>
    <s v="NORTE"/>
    <s v="OPERACIONES MENDOZA NORTE"/>
    <s v="MGS Zona II"/>
    <s v="RG"/>
    <s v="Malargue"/>
    <s v="Produciendo"/>
    <x v="24"/>
    <n v="30"/>
    <d v="2020-03-02T00:00:00"/>
    <n v="74.34"/>
    <n v="0.9"/>
    <x v="221"/>
  </r>
  <r>
    <s v="YPF.Md.NCF.a-160"/>
    <s v="NCF-160"/>
    <s v="Bombeo Mecánico"/>
    <s v="NORTE"/>
    <s v="OPERACIONES MENDOZA NORTE"/>
    <s v="MGS Zona I"/>
    <s v="CF- 02"/>
    <s v="Malargue"/>
    <s v="Produciendo"/>
    <x v="1"/>
    <n v="180.24"/>
    <d v="2019-11-14T00:00:00"/>
    <n v="4.6900000000000004"/>
    <n v="1"/>
    <x v="222"/>
  </r>
  <r>
    <s v="YPF.Md.NCF-162"/>
    <s v="NCF-162"/>
    <s v="Electro Sumergible"/>
    <s v="NORTE"/>
    <s v="OPERACIONES MENDOZA NORTE"/>
    <s v="MGS Zona I"/>
    <s v="CF- 01"/>
    <s v="Malargue"/>
    <s v="Produciendo"/>
    <x v="2"/>
    <n v="614"/>
    <d v="2020-03-10T00:00:00"/>
    <n v="75.97"/>
    <n v="6.43"/>
    <x v="223"/>
  </r>
  <r>
    <s v="YPF.Md.NLAS-72"/>
    <s v="NLAS-72"/>
    <s v="Inyección"/>
    <s v="NORTE"/>
    <s v="OPERACIONES MENDOZA NORTE"/>
    <s v="MGS Zona II"/>
    <s v="PTC"/>
    <s v="Malargue"/>
    <s v="Produciendo"/>
    <x v="5"/>
    <n v="0"/>
    <d v="2020-02-13T00:00:00"/>
    <n v="0"/>
    <n v="0"/>
    <x v="4"/>
  </r>
  <r>
    <s v="YPF.Md.NCF-168"/>
    <s v="NCF-168"/>
    <s v="Bombeo Mecánico"/>
    <s v="NORTE"/>
    <s v="OPERACIONES MENDOZA NORTE"/>
    <s v="MGS Zona I"/>
    <s v="CF- 01"/>
    <s v="Malargue"/>
    <s v="Produciendo"/>
    <x v="2"/>
    <n v="102"/>
    <d v="2020-03-14T00:00:00"/>
    <n v="5.38"/>
    <n v="7.35"/>
    <x v="224"/>
  </r>
  <r>
    <s v="YPF.Md.NCF-169"/>
    <s v="NCF-169"/>
    <s v="Bombeo Mecánico"/>
    <s v="NORTE"/>
    <s v="OPERACIONES MENDOZA NORTE"/>
    <s v="MGS Zona I"/>
    <s v="CF- 01"/>
    <s v="Malargue"/>
    <s v="Produciendo"/>
    <x v="2"/>
    <n v="133"/>
    <d v="2020-03-07T00:00:00"/>
    <n v="37.56"/>
    <n v="6.85"/>
    <x v="225"/>
  </r>
  <r>
    <s v="YPF.Md.NRG.a-41"/>
    <s v="NRG-41"/>
    <s v="Bombeo Mecánico"/>
    <s v="NORTE"/>
    <s v="OPERACIONES MENDOZA NORTE"/>
    <s v="MGS Zona II"/>
    <s v="RG"/>
    <s v="Malargue"/>
    <s v="Produciendo"/>
    <x v="24"/>
    <n v="20"/>
    <d v="2020-03-09T00:00:00"/>
    <n v="7.85"/>
    <n v="1.39"/>
    <x v="226"/>
  </r>
  <r>
    <s v="YPF.Md.NCF.a-164"/>
    <s v="NCF-164"/>
    <s v="Bombeo Mecánico"/>
    <s v="NORTE"/>
    <s v="OPERACIONES MENDOZA NORTE"/>
    <s v="MGS Zona I"/>
    <s v="CF- 02"/>
    <s v="Malargue"/>
    <s v="Produciendo"/>
    <x v="1"/>
    <n v="348"/>
    <d v="2019-11-25T00:00:00"/>
    <n v="13.7"/>
    <n v="0.11"/>
    <x v="227"/>
  </r>
  <r>
    <s v="YPF.Md.NCF-165"/>
    <s v="NCF-165"/>
    <s v="Bombeo Mecánico"/>
    <s v="NORTE"/>
    <s v="OPERACIONES MENDOZA NORTE"/>
    <s v="MGS Zona I"/>
    <s v="CF- 02"/>
    <s v="Malargue"/>
    <s v="Produciendo"/>
    <x v="1"/>
    <n v="899.9"/>
    <d v="2019-10-09T00:00:00"/>
    <n v="0.75"/>
    <n v="6.66"/>
    <x v="228"/>
  </r>
  <r>
    <s v="YPF.Md.NCF-167"/>
    <s v="NCF-167"/>
    <s v="Bombeo Mecánico"/>
    <s v="NORTE"/>
    <s v="OPERACIONES MENDOZA NORTE"/>
    <s v="MGS Zona I"/>
    <s v="CF- 02"/>
    <s v="Malargue"/>
    <s v="Produciendo"/>
    <x v="1"/>
    <n v="406"/>
    <d v="2020-01-18T00:00:00"/>
    <n v="3.88"/>
    <n v="4.41"/>
    <x v="229"/>
  </r>
  <r>
    <s v="YPF.Md.NCF-166"/>
    <s v="NCF-166"/>
    <s v="Bombeo Mecánico"/>
    <s v="NORTE"/>
    <s v="OPERACIONES MENDOZA NORTE"/>
    <s v="MGS Zona I"/>
    <s v="CF- 02"/>
    <s v="Malargue"/>
    <s v="Produciendo"/>
    <x v="1"/>
    <n v="3446"/>
    <d v="2019-11-20T00:00:00"/>
    <n v="0.28000000000000003"/>
    <n v="2.76"/>
    <x v="164"/>
  </r>
  <r>
    <s v="YPF.Md.NLA-13"/>
    <s v="NLA-13"/>
    <s v="Bombeo Mecánico"/>
    <s v="NORTE"/>
    <s v="OPERACIONES MENDOZA NORTE"/>
    <s v="MGS Zona II"/>
    <s v="LAS- 01"/>
    <s v="Malargue"/>
    <s v="Produciendo"/>
    <x v="25"/>
    <n v="10"/>
    <d v="2020-01-11T00:00:00"/>
    <n v="59.94"/>
    <n v="0.06"/>
    <x v="230"/>
  </r>
  <r>
    <s v="YPF.Md.NCF-179"/>
    <s v="NCF-179"/>
    <s v="Bombeo Mecánico"/>
    <s v="NORTE"/>
    <s v="OPERACIONES MENDOZA NORTE"/>
    <s v="MGS Zona I"/>
    <s v="CF- 03"/>
    <s v="Malargue"/>
    <s v="Produciendo"/>
    <x v="4"/>
    <n v="1829"/>
    <d v="2020-01-24T00:00:00"/>
    <n v="12.55"/>
    <n v="0.9"/>
    <x v="231"/>
  </r>
  <r>
    <s v="YPF.Md.NCF-178"/>
    <s v="NCF-178"/>
    <s v="Bombeo Mecánico"/>
    <s v="NORTE"/>
    <s v="OPERACIONES MENDOZA NORTE"/>
    <s v="MGS Zona I"/>
    <s v="CF- 03"/>
    <s v="Malargue"/>
    <s v="Produciendo"/>
    <x v="4"/>
    <n v="9302.75"/>
    <d v="2020-03-11T00:00:00"/>
    <n v="4.62"/>
    <n v="3.86"/>
    <x v="232"/>
  </r>
  <r>
    <s v="YPF.Md.NRG-40"/>
    <s v="NRG-40"/>
    <s v="Bombeo Mecánico"/>
    <s v="NORTE"/>
    <s v="OPERACIONES MENDOZA NORTE"/>
    <s v="MGS Zona II"/>
    <s v="RG"/>
    <s v="Malargue"/>
    <s v="Produciendo"/>
    <x v="24"/>
    <n v="15"/>
    <d v="2020-03-16T00:00:00"/>
    <n v="4.6399999999999997"/>
    <n v="1.47"/>
    <x v="214"/>
  </r>
  <r>
    <s v="YPF.Md.NLCa-147"/>
    <s v="NLCa-147"/>
    <s v="Bombeo Mecánico"/>
    <s v="NORTE"/>
    <s v="OPERACIONES MENDOZA NORTE"/>
    <s v="MGS Zona II"/>
    <s v="LCA- 02"/>
    <s v="Malargue"/>
    <s v="Produciendo"/>
    <x v="12"/>
    <n v="8675"/>
    <d v="2020-03-16T00:00:00"/>
    <n v="18.7"/>
    <n v="9.64"/>
    <x v="233"/>
  </r>
  <r>
    <s v="YPF.Md.NCF-177"/>
    <s v="NCF-177"/>
    <s v="Bombeo Mecánico"/>
    <s v="NORTE"/>
    <s v="OPERACIONES MENDOZA NORTE"/>
    <s v="MGS Zona I"/>
    <s v="CF- 01"/>
    <s v="Malargue"/>
    <s v="Produciendo"/>
    <x v="2"/>
    <n v="126"/>
    <d v="2020-03-11T00:00:00"/>
    <n v="87.6"/>
    <n v="4.74"/>
    <x v="234"/>
  </r>
  <r>
    <s v="YPF.Md.NCF-171"/>
    <s v="NCF-171"/>
    <s v="Bombeo Mecánico"/>
    <s v="NORTE"/>
    <s v="OPERACIONES MENDOZA NORTE"/>
    <s v="MGS Zona I"/>
    <s v="CF- 02"/>
    <s v="Malargue"/>
    <s v="Produciendo"/>
    <x v="1"/>
    <n v="5696.4"/>
    <d v="2019-11-20T00:00:00"/>
    <n v="0.49"/>
    <n v="4.87"/>
    <x v="235"/>
  </r>
  <r>
    <s v="YPF.Md.NCF-180"/>
    <s v="NCF-180"/>
    <s v="Bombeo Mecánico"/>
    <s v="NORTE"/>
    <s v="OPERACIONES MENDOZA NORTE"/>
    <s v="MGS Zona I"/>
    <s v="CF- 02"/>
    <s v="Malargue"/>
    <s v="Produciendo"/>
    <x v="1"/>
    <n v="969.9"/>
    <d v="2020-01-04T00:00:00"/>
    <n v="32.01"/>
    <n v="2.04"/>
    <x v="236"/>
  </r>
  <r>
    <s v="YPF.Md.NLDM-16"/>
    <s v="NLDM-16"/>
    <s v="Bombeo Mecánico"/>
    <s v="NORTE"/>
    <s v="OPERACIONES MENDOZA NORTE"/>
    <s v="MGN Zona I"/>
    <s v="LDLM"/>
    <s v="Malargue"/>
    <s v="Produciendo"/>
    <x v="13"/>
    <n v="0"/>
    <d v="2020-03-18T00:00:00"/>
    <n v="0"/>
    <n v="0.1"/>
    <x v="237"/>
  </r>
  <r>
    <s v="YPF.Md.NCL.a-6"/>
    <s v="NCL-6"/>
    <s v="Bombeo Mecánico"/>
    <s v="NORTE"/>
    <s v="OPERACIONES MENDOZA NORTE"/>
    <s v="MGS Zona II"/>
    <s v="PP"/>
    <s v="Malargue"/>
    <s v="Produciendo"/>
    <x v="14"/>
    <n v="5"/>
    <d v="2020-01-01T00:00:00"/>
    <n v="12.75"/>
    <n v="2.25"/>
    <x v="238"/>
  </r>
  <r>
    <s v="YPF.Md.NCF.a-9"/>
    <s v="NCF-0009"/>
    <s v="Bombeo Mecánico"/>
    <s v="NORTE"/>
    <s v="OPERACIONES MENDOZA NORTE"/>
    <s v="MGS Zona I"/>
    <s v="CF- 02"/>
    <s v="Malargue"/>
    <s v="Produciendo"/>
    <x v="1"/>
    <n v="4253.5"/>
    <d v="2019-11-20T00:00:00"/>
    <n v="2.4300000000000002"/>
    <n v="3.93"/>
    <x v="239"/>
  </r>
  <r>
    <s v="YPF.Md.NCF-181"/>
    <s v="NCF-181"/>
    <s v="Bombeo Mecánico"/>
    <s v="NORTE"/>
    <s v="OPERACIONES MENDOZA NORTE"/>
    <s v="MGS Zona I"/>
    <s v="CF- 01"/>
    <s v="Malargue"/>
    <s v="Produciendo"/>
    <x v="2"/>
    <n v="257"/>
    <d v="2020-01-29T00:00:00"/>
    <n v="39.71"/>
    <n v="3.07"/>
    <x v="240"/>
  </r>
  <r>
    <s v="YPF.Md.NLA.a-15"/>
    <s v="NLA-15"/>
    <s v="Bombeo Mecánico"/>
    <s v="NORTE"/>
    <s v="OPERACIONES MENDOZA NORTE"/>
    <s v="MGS Zona II"/>
    <s v="LA"/>
    <s v="Malargue"/>
    <s v="Produciendo"/>
    <x v="25"/>
    <n v="3272.73"/>
    <d v="2020-03-17T00:00:00"/>
    <n v="22.09"/>
    <n v="1.4"/>
    <x v="241"/>
  </r>
  <r>
    <s v="YPF.Md.NCF-172"/>
    <s v="NCF-172"/>
    <s v="Bombeo Mecánico"/>
    <s v="NORTE"/>
    <s v="OPERACIONES MENDOZA NORTE"/>
    <s v="MGS Zona I"/>
    <s v="CF- 02"/>
    <s v="Malargue"/>
    <s v="Produciendo"/>
    <x v="1"/>
    <n v="1033"/>
    <d v="2020-02-18T00:00:00"/>
    <n v="1.97"/>
    <n v="2.91"/>
    <x v="242"/>
  </r>
  <r>
    <s v="YPF.Md.NCF-184"/>
    <s v="NCF-184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182"/>
    <s v="NCF-182"/>
    <s v="Electro Sumergible"/>
    <s v="NORTE"/>
    <s v="OPERACIONES MENDOZA NORTE"/>
    <s v="MGS Zona I"/>
    <s v="CF- 01"/>
    <s v="Malargue"/>
    <s v="Produciendo"/>
    <x v="2"/>
    <n v="100"/>
    <d v="2020-02-15T00:00:00"/>
    <n v="50.28"/>
    <n v="6.47"/>
    <x v="243"/>
  </r>
  <r>
    <s v="YPF.Md.NCF-174"/>
    <s v="NCF-174"/>
    <s v="Bombeo Mecánico"/>
    <s v="NORTE"/>
    <s v="OPERACIONES MENDOZA NORTE"/>
    <s v="MGS Zona I"/>
    <s v="CF- 01"/>
    <s v="Malargue"/>
    <s v="Produciendo"/>
    <x v="2"/>
    <n v="121"/>
    <d v="2020-03-15T00:00:00"/>
    <n v="22.24"/>
    <n v="6.06"/>
    <x v="244"/>
  </r>
  <r>
    <s v="YPF.Md.NCF-173"/>
    <s v="NCF-173"/>
    <s v="Bombeo Mecánico"/>
    <s v="NORTE"/>
    <s v="OPERACIONES MENDOZA NORTE"/>
    <s v="MGS Zona I"/>
    <s v="CF- 02"/>
    <s v="Malargue"/>
    <s v="Produciendo"/>
    <x v="1"/>
    <n v="3971"/>
    <d v="2019-11-20T00:00:00"/>
    <n v="1.94"/>
    <n v="2.2000000000000002"/>
    <x v="245"/>
  </r>
  <r>
    <s v="YPF.Md.NCF-183"/>
    <s v="NCF-183"/>
    <s v="Bombeo Mecánico"/>
    <s v="NORTE"/>
    <s v="OPERACIONES MENDOZA NORTE"/>
    <s v="MGS Zona I"/>
    <s v="CF- 01"/>
    <s v="Malargue"/>
    <s v="Produciendo"/>
    <x v="2"/>
    <n v="197"/>
    <d v="2020-03-11T00:00:00"/>
    <n v="9.31"/>
    <n v="7.51"/>
    <x v="246"/>
  </r>
  <r>
    <s v="YPF.Md.NCF-170"/>
    <s v="NCF-170"/>
    <s v="Bombeo Mecánico"/>
    <s v="NORTE"/>
    <s v="OPERACIONES MENDOZA NORTE"/>
    <s v="MGS Zona I"/>
    <s v="CF- 02"/>
    <s v="Malargue"/>
    <s v="Produciendo"/>
    <x v="1"/>
    <n v="16629.400000000001"/>
    <d v="2020-01-18T00:00:00"/>
    <n v="2.92"/>
    <n v="3.99"/>
    <x v="247"/>
  </r>
  <r>
    <s v="YPF.Md.NCF-74"/>
    <s v="NCF-0074"/>
    <s v="Bombeo Mecánico"/>
    <s v="NORTE"/>
    <s v="OPERACIONES MENDOZA NORTE"/>
    <s v="MGS Zona I"/>
    <s v="CF- 01"/>
    <s v="Malargue"/>
    <s v="Produciendo"/>
    <x v="2"/>
    <n v="100.29"/>
    <d v="2020-02-28T00:00:00"/>
    <n v="7.84"/>
    <n v="1.24"/>
    <x v="248"/>
  </r>
  <r>
    <s v="YPF.Md.NLDM-20"/>
    <s v="NLDM-20"/>
    <s v="Bombeo Mecánico"/>
    <s v="NORTE"/>
    <s v="OPERACIONES MENDOZA NORTE"/>
    <s v="MGN Zona I"/>
    <s v="LDLM"/>
    <s v="Malargue"/>
    <s v="Produciendo"/>
    <x v="13"/>
    <n v="0"/>
    <d v="2020-03-18T00:00:00"/>
    <n v="0.09"/>
    <n v="0.01"/>
    <x v="249"/>
  </r>
  <r>
    <s v="YPF.Md.NLDM-22"/>
    <s v="NLDM-22"/>
    <s v="Bombeo Mecánico"/>
    <s v="NORTE"/>
    <s v="OPERACIONES MENDOZA NORTE"/>
    <s v="MGN Zona I"/>
    <s v="LDLM"/>
    <s v="Malargue"/>
    <s v="Produciendo"/>
    <x v="13"/>
    <n v="52"/>
    <d v="2020-01-19T00:00:00"/>
    <n v="0"/>
    <n v="0.57999999999999996"/>
    <x v="250"/>
  </r>
  <r>
    <s v="YPF.Md.NLDM-23"/>
    <s v="NLDM-23"/>
    <s v="Bombeo Mecánico"/>
    <s v="NORTE"/>
    <s v="OPERACIONES MENDOZA NORTE"/>
    <s v="MGN Zona I"/>
    <s v="LDLM"/>
    <s v="Malargue"/>
    <s v="Produciendo"/>
    <x v="13"/>
    <n v="88"/>
    <d v="2019-12-21T00:00:00"/>
    <n v="0.51"/>
    <n v="0.98"/>
    <x v="251"/>
  </r>
  <r>
    <s v="YPF.Md.NLDM-24"/>
    <s v="NLDM-24"/>
    <s v="Bombeo Mecánico"/>
    <s v="NORTE"/>
    <s v="OPERACIONES MENDOZA NORTE"/>
    <s v="MGN Zona I"/>
    <s v="LDLM"/>
    <s v="Malargue"/>
    <s v="Produciendo"/>
    <x v="13"/>
    <n v="0"/>
    <d v="2020-03-18T00:00:00"/>
    <n v="0.67"/>
    <n v="0.33"/>
    <x v="26"/>
  </r>
  <r>
    <s v="YPF.Md.NCF-186"/>
    <s v="NCF-186"/>
    <s v="Cavidad Progresiva"/>
    <s v="NORTE"/>
    <s v="OPERACIONES MENDOZA NORTE"/>
    <s v="MGS Zona I"/>
    <s v="CF- 01"/>
    <s v="Malargue"/>
    <s v="Produciendo"/>
    <x v="2"/>
    <n v="100"/>
    <d v="2020-03-17T00:00:00"/>
    <n v="2.4"/>
    <n v="3.54"/>
    <x v="252"/>
  </r>
  <r>
    <s v="YPF.Md.NCF-187"/>
    <s v="NCF-187"/>
    <s v="Bombeo Mecánico"/>
    <s v="NORTE"/>
    <s v="OPERACIONES MENDOZA NORTE"/>
    <s v="MGS Zona I"/>
    <s v="CF- 01"/>
    <s v="Malargue"/>
    <s v="Produciendo"/>
    <x v="2"/>
    <n v="151"/>
    <d v="2020-02-06T00:00:00"/>
    <n v="18.579999999999998"/>
    <n v="4.12"/>
    <x v="253"/>
  </r>
  <r>
    <s v="YPF.Md.NCF-175"/>
    <s v="NCF-175"/>
    <s v="Bombeo Mecánico"/>
    <s v="NORTE"/>
    <s v="OPERACIONES MENDOZA NORTE"/>
    <s v="MGS Zona I"/>
    <s v="CF- 01"/>
    <s v="Malargue"/>
    <s v="Produciendo"/>
    <x v="2"/>
    <n v="38.799999999999997"/>
    <d v="2020-03-17T00:00:00"/>
    <n v="2.72"/>
    <n v="5.23"/>
    <x v="254"/>
  </r>
  <r>
    <s v="YPF.Md.NCF-189"/>
    <s v="NCF-189"/>
    <s v="Bombeo Mecánico"/>
    <s v="NORTE"/>
    <s v="OPERACIONES MENDOZA NORTE"/>
    <s v="MGS Zona I"/>
    <s v="CF- 03"/>
    <s v="Malargue"/>
    <s v="Produciendo"/>
    <x v="4"/>
    <n v="421.32"/>
    <d v="2020-01-06T00:00:00"/>
    <n v="45.25"/>
    <n v="1.86"/>
    <x v="255"/>
  </r>
  <r>
    <s v="YPF.Md.NCF-188"/>
    <s v="NCF-188"/>
    <s v="Bombeo Mecánico"/>
    <s v="NORTE"/>
    <s v="OPERACIONES MENDOZA NORTE"/>
    <s v="MGS Zona I"/>
    <s v="CF- 03"/>
    <s v="Malargue"/>
    <s v="Produciendo"/>
    <x v="4"/>
    <n v="469.58"/>
    <d v="2020-02-21T00:00:00"/>
    <n v="21.79"/>
    <n v="1.22"/>
    <x v="256"/>
  </r>
  <r>
    <s v="YPF.Md.NMDM-9(I)"/>
    <s v="NMDM-9(I)"/>
    <s v="Electro Sumergible"/>
    <s v="NORTE"/>
    <s v="OPERACIONES MENDOZA NORTE"/>
    <s v="MGS Zona II"/>
    <s v="MDM"/>
    <s v="Malargue"/>
    <s v="Produciendo"/>
    <x v="10"/>
    <n v="234"/>
    <d v="2020-03-03T00:00:00"/>
    <n v="81.48"/>
    <n v="2.5099999999999998"/>
    <x v="257"/>
  </r>
  <r>
    <s v="YPF.Md.NCF-192"/>
    <s v="NCF-192"/>
    <s v="Bombeo Mecánico"/>
    <s v="NORTE"/>
    <s v="OPERACIONES MENDOZA NORTE"/>
    <s v="MGS Zona I"/>
    <s v="CF- 02"/>
    <s v="Malargue"/>
    <s v="Produciendo"/>
    <x v="1"/>
    <n v="4255"/>
    <d v="2019-10-21T00:00:00"/>
    <n v="3.45"/>
    <n v="2.09"/>
    <x v="258"/>
  </r>
  <r>
    <s v="YPF.Md.NLA.a-17"/>
    <s v="NLA-17"/>
    <s v="Bombeo Mecánico"/>
    <s v="NORTE"/>
    <s v="OPERACIONES MENDOZA NORTE"/>
    <s v="MGS Zona II"/>
    <s v="LA"/>
    <s v="Malargue"/>
    <s v="Produciendo"/>
    <x v="25"/>
    <n v="1500"/>
    <d v="2020-03-05T00:00:00"/>
    <n v="61.51"/>
    <n v="9.35"/>
    <x v="259"/>
  </r>
  <r>
    <s v="YPF.Md.NLA.a-17"/>
    <s v="NLA-17"/>
    <s v="Bombeo Mecánico"/>
    <s v="NORTE"/>
    <s v="OPERACIONES MENDOZA NORTE"/>
    <s v="MGS Zona II"/>
    <s v="LA"/>
    <s v="Malargue"/>
    <s v="Produciendo"/>
    <x v="25"/>
    <n v="1500"/>
    <d v="2020-03-05T00:00:00"/>
    <n v="61.51"/>
    <n v="9.35"/>
    <x v="259"/>
  </r>
  <r>
    <s v="YPF.Md.NLDM-26"/>
    <s v="NLDM-26"/>
    <s v="Bombeo Mecánico"/>
    <s v="NORTE"/>
    <s v="OPERACIONES MENDOZA NORTE"/>
    <s v="MGN Zona I"/>
    <s v="LDLM"/>
    <s v="Malargue"/>
    <s v="Produciendo"/>
    <x v="13"/>
    <n v="82"/>
    <d v="2020-02-27T00:00:00"/>
    <n v="0.04"/>
    <n v="1"/>
    <x v="260"/>
  </r>
  <r>
    <s v="YPF.Md.NLDM-25"/>
    <s v="NLDM-25"/>
    <s v="Bombeo Mecánico"/>
    <s v="NORTE"/>
    <s v="OPERACIONES MENDOZA NORTE"/>
    <s v="MGN Zona I"/>
    <s v="LDLM"/>
    <s v="Malargue"/>
    <s v="Produciendo"/>
    <x v="13"/>
    <n v="123"/>
    <d v="2020-02-27T00:00:00"/>
    <n v="0.25"/>
    <n v="1.52"/>
    <x v="261"/>
  </r>
  <r>
    <s v="YPF.Md.NLDM-29"/>
    <s v="NLDM-29"/>
    <s v="Bombeo Mecánico"/>
    <s v="NORTE"/>
    <s v="OPERACIONES MENDOZA NORTE"/>
    <s v="MGN Zona I"/>
    <s v="LDLM"/>
    <s v="Malargue"/>
    <s v="Produciendo"/>
    <x v="13"/>
    <n v="372"/>
    <d v="2020-02-12T00:00:00"/>
    <n v="0.24"/>
    <n v="4.1100000000000003"/>
    <x v="262"/>
  </r>
  <r>
    <s v="YPF.Md.NLDM-28"/>
    <s v="NLDM-28"/>
    <s v="Bombeo Mecánico"/>
    <s v="NORTE"/>
    <s v="OPERACIONES MENDOZA NORTE"/>
    <s v="MGN Zona I"/>
    <s v="LDLM"/>
    <s v="Malargue"/>
    <s v="Produciendo"/>
    <x v="13"/>
    <n v="67"/>
    <d v="2020-02-27T00:00:00"/>
    <n v="0"/>
    <n v="0.89"/>
    <x v="263"/>
  </r>
  <r>
    <s v="YPF.Md.NCF-190"/>
    <s v="NCF-190"/>
    <s v="Bombeo Mecánico"/>
    <s v="NORTE"/>
    <s v="OPERACIONES MENDOZA NORTE"/>
    <s v="MGS Zona I"/>
    <s v="CF- 01"/>
    <s v="Malargue"/>
    <s v="Produciendo"/>
    <x v="2"/>
    <n v="737.4"/>
    <d v="2020-02-28T00:00:00"/>
    <n v="9.2100000000000009"/>
    <n v="21.28"/>
    <x v="264"/>
  </r>
  <r>
    <s v="YPF.Md.NLDM-27"/>
    <s v="NLDM-27"/>
    <s v="Bombeo Mecánico"/>
    <s v="NORTE"/>
    <s v="OPERACIONES MENDOZA NORTE"/>
    <s v="MGN Zona I"/>
    <s v="LDLM"/>
    <s v="Malargue"/>
    <s v="Produciendo"/>
    <x v="13"/>
    <n v="43"/>
    <d v="2020-03-17T00:00:00"/>
    <n v="0"/>
    <n v="0.48"/>
    <x v="265"/>
  </r>
  <r>
    <s v="YPF.Md.NLDM-30"/>
    <s v="NLDM-30"/>
    <s v="Bombeo Mecánico"/>
    <s v="NORTE"/>
    <s v="OPERACIONES MENDOZA NORTE"/>
    <s v="MGN Zona I"/>
    <s v="LDLM"/>
    <s v="Malargue"/>
    <s v="Produciendo"/>
    <x v="13"/>
    <n v="113"/>
    <d v="2020-01-19T00:00:00"/>
    <n v="0.01"/>
    <n v="1.25"/>
    <x v="266"/>
  </r>
  <r>
    <s v="YPF.Md.NLDM-31"/>
    <s v="NLDM-31"/>
    <s v="Bombeo Mecánico"/>
    <s v="NORTE"/>
    <s v="OPERACIONES MENDOZA NORTE"/>
    <s v="MGN Zona I"/>
    <s v="LDLM"/>
    <s v="Malargue"/>
    <s v="Produciendo"/>
    <x v="13"/>
    <n v="186"/>
    <d v="2020-02-27T00:00:00"/>
    <n v="0.02"/>
    <n v="3.52"/>
    <x v="267"/>
  </r>
  <r>
    <s v="YPF.Md.NLDM-32"/>
    <s v="NLDM-32"/>
    <s v="Bombeo Mecánico"/>
    <s v="NORTE"/>
    <s v="OPERACIONES MENDOZA NORTE"/>
    <s v="MGN Zona I"/>
    <s v="LDLM"/>
    <s v="Malargue"/>
    <s v="Produciendo"/>
    <x v="13"/>
    <n v="210"/>
    <d v="2020-03-18T00:00:00"/>
    <n v="0.18"/>
    <n v="2.34"/>
    <x v="268"/>
  </r>
  <r>
    <s v="YPF.Md.NCD-20"/>
    <s v="NCD-20"/>
    <s v="Bombeo Mecánico"/>
    <s v="NORTE"/>
    <s v="OPERACIONES MENDOZA NORTE"/>
    <s v="MGS Zona II"/>
    <s v="CD"/>
    <s v="Malargue"/>
    <s v="Produciendo"/>
    <x v="0"/>
    <n v="5"/>
    <d v="2020-03-08T00:00:00"/>
    <n v="0.74"/>
    <n v="3.15"/>
    <x v="269"/>
  </r>
  <r>
    <s v="YPF.MdN.LVo.a-9(d)"/>
    <s v="LVo.a-9(d)"/>
    <s v="Bombeo Mecánico"/>
    <s v="NORTE"/>
    <s v="OPERACIONES MENDOZA NORTE"/>
    <s v="MGS Zona II"/>
    <s v="MDM(RG28)"/>
    <s v="Malargue"/>
    <s v="Produciendo"/>
    <x v="16"/>
    <n v="18725"/>
    <d v="2020-03-06T00:00:00"/>
    <n v="108.83"/>
    <n v="14.67"/>
    <x v="270"/>
  </r>
  <r>
    <s v="YPF.Md.NLDM-41"/>
    <s v="NLDM-41"/>
    <s v="Bombeo Mecánico"/>
    <s v="NORTE"/>
    <s v="OPERACIONES MENDOZA NORTE"/>
    <s v="MGN Zona I"/>
    <s v="LDLM"/>
    <s v="Malargue"/>
    <s v="Produciendo"/>
    <x v="13"/>
    <n v="181"/>
    <d v="2019-12-21T00:00:00"/>
    <n v="0.33"/>
    <n v="1.99"/>
    <x v="271"/>
  </r>
  <r>
    <s v="YPF.Md.NLDM-38"/>
    <s v="NLDM-38"/>
    <s v="Bombeo Mecánico"/>
    <s v="NORTE"/>
    <s v="OPERACIONES MENDOZA NORTE"/>
    <s v="MGN Zona I"/>
    <s v="LDLM"/>
    <s v="Malargue"/>
    <s v="Produciendo"/>
    <x v="13"/>
    <n v="157"/>
    <d v="2020-02-14T00:00:00"/>
    <n v="0.06"/>
    <n v="1.74"/>
    <x v="272"/>
  </r>
  <r>
    <s v="YPF.Md.NLDM-40"/>
    <s v="NLDM-40"/>
    <s v="Bombeo Mecánico"/>
    <s v="NORTE"/>
    <s v="OPERACIONES MENDOZA NORTE"/>
    <s v="MGN Zona I"/>
    <s v="LDLM"/>
    <s v="Malargue"/>
    <s v="Produciendo"/>
    <x v="13"/>
    <n v="177"/>
    <d v="2020-03-18T00:00:00"/>
    <n v="0.26"/>
    <n v="1.97"/>
    <x v="273"/>
  </r>
  <r>
    <s v="YPF.Md.NLDM.a-46"/>
    <s v="NLDM.a-46"/>
    <s v="Bombeo Mecánico"/>
    <s v="NORTE"/>
    <s v="OPERACIONES MENDOZA NORTE"/>
    <s v="MGN Zona I"/>
    <s v="LDLM"/>
    <s v="Malargue"/>
    <s v="Produciendo"/>
    <x v="13"/>
    <n v="40"/>
    <d v="2020-01-19T00:00:00"/>
    <n v="0.14000000000000001"/>
    <n v="0.45"/>
    <x v="69"/>
  </r>
  <r>
    <s v="YPF.Md.NLAS.IA-74"/>
    <s v="NLAS-74"/>
    <s v="Inyección"/>
    <s v="NORTE"/>
    <s v="OPERACIONES MENDOZA NORTE"/>
    <s v="MGS Zona II"/>
    <s v="LAS1(LAS23)"/>
    <s v="Malargue"/>
    <s v="Produciendo"/>
    <x v="5"/>
    <n v="0"/>
    <d v="2020-02-13T00:00:00"/>
    <n v="0"/>
    <n v="0"/>
    <x v="4"/>
  </r>
  <r>
    <s v="YPF.Md.NLAS.IA-56(I)"/>
    <s v="NLAS-56(I)"/>
    <s v="Inyección"/>
    <s v="NORTE"/>
    <s v="OPERACIONES MENDOZA NORTE"/>
    <s v="MGS Zona II"/>
    <s v="LAS1(LAS23)"/>
    <s v="Malargue"/>
    <s v="Produciendo"/>
    <x v="5"/>
    <n v="0"/>
    <d v="2020-02-13T00:00:00"/>
    <n v="0"/>
    <n v="0"/>
    <x v="4"/>
  </r>
  <r>
    <s v="YPF.Md.NLA.a-19"/>
    <s v="NLA-19"/>
    <s v="Bombeo Mecánico"/>
    <s v="NORTE"/>
    <s v="OPERACIONES MENDOZA NORTE"/>
    <s v="MGS Zona II"/>
    <s v="LA"/>
    <s v="Malargue"/>
    <s v="Produciendo"/>
    <x v="25"/>
    <n v="200"/>
    <d v="2020-02-01T00:00:00"/>
    <n v="39.96"/>
    <n v="0.04"/>
    <x v="274"/>
  </r>
  <r>
    <s v="YPF.Md.NCF.a-159"/>
    <s v="NCF-159"/>
    <s v="Bombeo Mecánico"/>
    <s v="NORTE"/>
    <s v="OPERACIONES MENDOZA NORTE"/>
    <s v="MGS Zona I"/>
    <s v="CF- 02"/>
    <s v="Malargue"/>
    <s v="Produciendo"/>
    <x v="1"/>
    <n v="19076.900000000001"/>
    <d v="2019-12-09T00:00:00"/>
    <n v="0.6"/>
    <n v="5.98"/>
    <x v="275"/>
  </r>
  <r>
    <s v="YPF.Md.NCFE.x-2"/>
    <s v="NCFE-0002"/>
    <s v="Electro Sumergible"/>
    <s v="NORTE"/>
    <s v="OPERACIONES MENDOZA NORTE"/>
    <s v="MGS Zona I"/>
    <s v="CF- 01"/>
    <s v="Malargue"/>
    <s v="Produciendo"/>
    <x v="2"/>
    <n v="465.5"/>
    <d v="2020-03-02T00:00:00"/>
    <n v="175.72"/>
    <n v="0.17"/>
    <x v="276"/>
  </r>
  <r>
    <s v="YPF.Md.NLA-22"/>
    <s v="NLA-22"/>
    <s v="Bombeo Mecánico"/>
    <s v="NORTE"/>
    <s v="OPERACIONES MENDOZA NORTE"/>
    <s v="MGS Zona II"/>
    <s v="LA"/>
    <s v="Malargue"/>
    <s v="Produciendo"/>
    <x v="25"/>
    <n v="0"/>
    <d v="2020-02-01T00:00:00"/>
    <n v="2.21"/>
    <n v="1.48"/>
    <x v="277"/>
  </r>
  <r>
    <s v="YPF.Md.NCF-33(I)"/>
    <s v="NCF-33(I)"/>
    <s v="Bombeo Mecánico"/>
    <s v="NORTE"/>
    <s v="OPERACIONES MENDOZA NORTE"/>
    <s v="MGS Zona I"/>
    <s v="CF- 01"/>
    <s v="Malargue"/>
    <s v="Produciendo"/>
    <x v="2"/>
    <n v="582"/>
    <d v="2020-03-09T00:00:00"/>
    <n v="31.69"/>
    <n v="6.73"/>
    <x v="278"/>
  </r>
  <r>
    <s v="YPF.Md.NLDM-39"/>
    <s v="NLDM-39"/>
    <s v="Bombeo Mecánico"/>
    <s v="NORTE"/>
    <s v="OPERACIONES MENDOZA NORTE"/>
    <s v="MGN Zona I"/>
    <s v="LDLM"/>
    <s v="Malargue"/>
    <s v="Produciendo"/>
    <x v="13"/>
    <n v="96"/>
    <d v="2020-03-17T00:00:00"/>
    <n v="0.01"/>
    <n v="1.07"/>
    <x v="14"/>
  </r>
  <r>
    <s v="YPF.Md.NLDM-59"/>
    <s v="NLDM-59"/>
    <s v="Bombeo Mecánico"/>
    <s v="NORTE"/>
    <s v="OPERACIONES MENDOZA NORTE"/>
    <s v="MGN Zona I"/>
    <s v="LDLM"/>
    <s v="Malargue"/>
    <s v="Produciendo"/>
    <x v="13"/>
    <n v="247"/>
    <d v="2020-03-17T00:00:00"/>
    <n v="0.24"/>
    <n v="2.74"/>
    <x v="279"/>
  </r>
  <r>
    <s v="YPF.Md.NCF-158(I)"/>
    <s v="NCF-158(I)"/>
    <s v="Bombeo Mecánico"/>
    <s v="NORTE"/>
    <s v="OPERACIONES MENDOZA NORTE"/>
    <s v="MGS Zona I"/>
    <s v="CF- 01"/>
    <s v="Malargue"/>
    <s v="Produciendo"/>
    <x v="2"/>
    <n v="148"/>
    <d v="2020-03-17T00:00:00"/>
    <n v="26.69"/>
    <n v="3.67"/>
    <x v="280"/>
  </r>
  <r>
    <s v="YPF.Md.NLDM-43"/>
    <s v="NLDM-43"/>
    <s v="Bombeo Mecánico"/>
    <s v="NORTE"/>
    <s v="OPERACIONES MENDOZA NORTE"/>
    <s v="MGN Zona I"/>
    <s v="LDLM"/>
    <s v="Malargue"/>
    <s v="Produciendo"/>
    <x v="13"/>
    <n v="0"/>
    <d v="2020-03-17T00:00:00"/>
    <n v="19.28"/>
    <n v="0.02"/>
    <x v="281"/>
  </r>
  <r>
    <s v="YPF.Md.NCF-194"/>
    <s v="NCF-194"/>
    <s v="Electro Sumergible"/>
    <s v="NORTE"/>
    <s v="OPERACIONES MENDOZA NORTE"/>
    <s v="MGS Zona I"/>
    <s v="CF- 01"/>
    <s v="Malargue"/>
    <s v="Produciendo"/>
    <x v="2"/>
    <n v="100"/>
    <d v="2020-02-06T00:00:00"/>
    <n v="82.01"/>
    <n v="4.5199999999999996"/>
    <x v="282"/>
  </r>
  <r>
    <s v="YPF.Md.NLDM-61"/>
    <s v="NLDM-61"/>
    <s v="Bombeo Mecánico"/>
    <s v="NORTE"/>
    <s v="OPERACIONES MENDOZA NORTE"/>
    <s v="MGN Zona I"/>
    <s v="LDLM"/>
    <s v="Malargue"/>
    <s v="Produciendo"/>
    <x v="13"/>
    <n v="40"/>
    <d v="2020-02-14T00:00:00"/>
    <n v="0.23"/>
    <n v="0.45"/>
    <x v="283"/>
  </r>
  <r>
    <s v="YPF.Md.NCF-193"/>
    <s v="NCF-193"/>
    <s v="Cavidad Progresiva"/>
    <s v="NORTE"/>
    <s v="OPERACIONES MENDOZA NORTE"/>
    <s v="MGS Zona I"/>
    <s v="CF- 01"/>
    <s v="Malargue"/>
    <s v="Produciendo"/>
    <x v="2"/>
    <n v="105.1"/>
    <d v="2020-03-09T00:00:00"/>
    <n v="9.01"/>
    <n v="10.39"/>
    <x v="284"/>
  </r>
  <r>
    <s v="YPF.Md.NCF-197"/>
    <s v="NCF-197"/>
    <s v="Bombeo Mecánico"/>
    <s v="NORTE"/>
    <s v="OPERACIONES MENDOZA NORTE"/>
    <s v="MGS Zona I"/>
    <s v="CF- 01"/>
    <s v="Malargue"/>
    <s v="Produciendo"/>
    <x v="2"/>
    <n v="100"/>
    <d v="2020-02-06T00:00:00"/>
    <n v="43.72"/>
    <n v="7.07"/>
    <x v="285"/>
  </r>
  <r>
    <s v="YPF.Md.NCF-195"/>
    <s v="NCF-195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.NCF-196"/>
    <s v="NCF-196"/>
    <s v="Bombeo Mecánico"/>
    <s v="NORTE"/>
    <s v="OPERACIONES MENDOZA NORTE"/>
    <s v="MGS Zona I"/>
    <s v="CF- 01"/>
    <s v="Malargue"/>
    <s v="Produciendo"/>
    <x v="2"/>
    <n v="100.16"/>
    <d v="2020-03-09T00:00:00"/>
    <n v="68.489999999999995"/>
    <n v="7.01"/>
    <x v="286"/>
  </r>
  <r>
    <s v="YPF.Md.NCF-199"/>
    <s v="NCF-199"/>
    <s v="Bombeo Mecánico"/>
    <s v="NORTE"/>
    <s v="OPERACIONES MENDOZA NORTE"/>
    <s v="MGS Zona I"/>
    <s v="CF- 02"/>
    <s v="Malargue"/>
    <s v="Produciendo"/>
    <x v="1"/>
    <n v="100"/>
    <d v="2019-12-30T00:00:00"/>
    <n v="20.88"/>
    <n v="1.88"/>
    <x v="287"/>
  </r>
  <r>
    <s v="YPF.Md.NCF-200"/>
    <s v="NCF-200"/>
    <s v="Bombeo Mecánico"/>
    <s v="NORTE"/>
    <s v="OPERACIONES MENDOZA NORTE"/>
    <s v="MGS Zona I"/>
    <s v="CF- 01"/>
    <s v="Malargue"/>
    <s v="Produciendo"/>
    <x v="2"/>
    <n v="12759"/>
    <d v="2020-01-24T00:00:00"/>
    <n v="1.02"/>
    <n v="10.199999999999999"/>
    <x v="288"/>
  </r>
  <r>
    <s v="YPF.Md.NCF-198"/>
    <s v="NCF-198"/>
    <s v="Bombeo Mecánico"/>
    <s v="NORTE"/>
    <s v="OPERACIONES MENDOZA NORTE"/>
    <s v="MGS Zona I"/>
    <s v="CF- 02"/>
    <s v="Malargue"/>
    <s v="Produciendo"/>
    <x v="1"/>
    <n v="177"/>
    <d v="2019-12-26T00:00:00"/>
    <n v="12.99"/>
    <n v="4.83"/>
    <x v="289"/>
  </r>
  <r>
    <s v="YPF.Md.NCF-201"/>
    <s v="NCF-201"/>
    <s v="Bombeo Mecánico"/>
    <s v="NORTE"/>
    <s v="OPERACIONES MENDOZA NORTE"/>
    <s v="MGS Zona I"/>
    <s v="CF- 01"/>
    <s v="Malargue"/>
    <s v="Produciendo"/>
    <x v="2"/>
    <n v="283"/>
    <d v="2020-01-27T00:00:00"/>
    <n v="0.75"/>
    <n v="5.44"/>
    <x v="290"/>
  </r>
  <r>
    <s v="YPF.Md.NCF-203"/>
    <s v="NCF-203"/>
    <s v="Bombeo Mecánico"/>
    <s v="NORTE"/>
    <s v="OPERACIONES MENDOZA NORTE"/>
    <s v="MGS Zona I"/>
    <s v="CF- 01"/>
    <s v="Malargue"/>
    <s v="Produciendo"/>
    <x v="2"/>
    <n v="110"/>
    <d v="2020-03-14T00:00:00"/>
    <n v="2.54"/>
    <n v="0.46"/>
    <x v="70"/>
  </r>
  <r>
    <s v="YPF.Md.NLL.a-2012h"/>
    <s v="NLL.a-2012h"/>
    <s v="Cavidad Progresiva"/>
    <s v="NORTE"/>
    <s v="OPERACIONES MENDOZA NORTE"/>
    <s v="MGN Zona I"/>
    <s v="LLANCANELO"/>
    <s v="Malargue"/>
    <s v="Produciendo"/>
    <x v="26"/>
    <n v="121.59"/>
    <d v="2020-02-22T00:00:00"/>
    <n v="0.05"/>
    <n v="12.98"/>
    <x v="291"/>
  </r>
  <r>
    <s v="YPF.Md.NCF-202"/>
    <s v="NCF-202"/>
    <s v="Bombeo Mecánico"/>
    <s v="NORTE"/>
    <s v="OPERACIONES MENDOZA NORTE"/>
    <s v="MGS Zona I"/>
    <s v="CF- 01"/>
    <s v="Malargue"/>
    <s v="Produciendo"/>
    <x v="2"/>
    <n v="1429"/>
    <d v="2020-02-24T00:00:00"/>
    <n v="3.66"/>
    <n v="8.43"/>
    <x v="292"/>
  </r>
  <r>
    <s v="YPF.Md.NCF-205"/>
    <s v="NCF-205"/>
    <s v="Bombeo Mecánico"/>
    <s v="NORTE"/>
    <s v="OPERACIONES MENDOZA NORTE"/>
    <s v="MGS Zona I"/>
    <s v="CF- 02"/>
    <s v="Malargue"/>
    <s v="Produciendo"/>
    <x v="1"/>
    <n v="1122"/>
    <d v="2020-03-04T00:00:00"/>
    <n v="5.9"/>
    <n v="3.1"/>
    <x v="293"/>
  </r>
  <r>
    <s v="YPF.Md.NCF-206"/>
    <s v="NCF-206"/>
    <s v="Bombeo Mecánico"/>
    <s v="NORTE"/>
    <s v="OPERACIONES MENDOZA NORTE"/>
    <s v="MGS Zona I"/>
    <s v="CF- 02"/>
    <s v="Malargue"/>
    <s v="Produciendo"/>
    <x v="1"/>
    <n v="5688"/>
    <d v="2020-01-04T00:00:00"/>
    <n v="1.76"/>
    <n v="3.36"/>
    <x v="294"/>
  </r>
  <r>
    <s v="YPF.Md.NLL-2010h"/>
    <s v="NLL-2010h"/>
    <s v="Cavidad Progresiva"/>
    <s v="NORTE"/>
    <s v="OPERACIONES MENDOZA NORTE"/>
    <s v="MGN Zona I"/>
    <s v="LLANCANELO"/>
    <s v="Malargue"/>
    <s v="Produciendo"/>
    <x v="22"/>
    <n v="10"/>
    <d v="2020-02-22T00:00:00"/>
    <n v="1.1200000000000001"/>
    <n v="0.01"/>
    <x v="295"/>
  </r>
  <r>
    <s v="YPF.Md.NCF-207"/>
    <s v="NCF-207"/>
    <s v="Bombeo Mecánico"/>
    <s v="NORTE"/>
    <s v="OPERACIONES MENDOZA NORTE"/>
    <s v="MGS Zona I"/>
    <s v="CF- 02"/>
    <s v="Malargue"/>
    <s v="Produciendo"/>
    <x v="1"/>
    <n v="359"/>
    <d v="2019-12-16T00:00:00"/>
    <n v="0.7"/>
    <n v="3.63"/>
    <x v="296"/>
  </r>
  <r>
    <s v="YPF.Md.NLDM-54"/>
    <s v="NLDM-54"/>
    <s v="Bombeo Mecánico"/>
    <s v="NORTE"/>
    <s v="OPERACIONES MENDOZA NORTE"/>
    <s v="MGN Zona I"/>
    <s v="LDLM"/>
    <s v="Malargue"/>
    <s v="Produciendo"/>
    <x v="13"/>
    <n v="15"/>
    <d v="2020-02-28T00:00:00"/>
    <n v="0.5"/>
    <n v="0.31"/>
    <x v="297"/>
  </r>
  <r>
    <s v="YPF.Md.NCF-225"/>
    <s v="NCF-225"/>
    <s v="Bombeo Mecánico"/>
    <s v="NORTE"/>
    <s v="OPERACIONES MENDOZA NORTE"/>
    <s v="MGS Zona I"/>
    <s v="CF- 02"/>
    <s v="Malargue"/>
    <s v="Produciendo"/>
    <x v="1"/>
    <n v="20224"/>
    <d v="2020-01-08T00:00:00"/>
    <n v="3.21"/>
    <n v="4.04"/>
    <x v="298"/>
  </r>
  <r>
    <s v="YPF.Md.NLDM-70"/>
    <s v="NLDM-70"/>
    <s v="Bombeo Mecánico"/>
    <s v="NORTE"/>
    <s v="OPERACIONES MENDOZA NORTE"/>
    <s v="MGN Zona I"/>
    <s v="LDLM"/>
    <s v="Malargue"/>
    <s v="Produciendo"/>
    <x v="13"/>
    <n v="24"/>
    <d v="2019-11-26T00:00:00"/>
    <n v="5.0199999999999996"/>
    <n v="0.26"/>
    <x v="299"/>
  </r>
  <r>
    <s v="YPF.Md.NCF-223"/>
    <s v="NCF-223"/>
    <s v="Bombeo Mecánico"/>
    <s v="NORTE"/>
    <s v="OPERACIONES MENDOZA NORTE"/>
    <s v="MGS Zona I"/>
    <s v="CF- 02"/>
    <s v="Malargue"/>
    <s v="Produciendo"/>
    <x v="1"/>
    <n v="701"/>
    <d v="2020-02-28T00:00:00"/>
    <n v="7.86"/>
    <n v="2.91"/>
    <x v="300"/>
  </r>
  <r>
    <s v="YPF.Md.NCF-228"/>
    <s v="NCF-228"/>
    <s v="Bombeo Mecánico"/>
    <s v="NORTE"/>
    <s v="OPERACIONES MENDOZA NORTE"/>
    <s v="MGS Zona I"/>
    <s v="CF- 02"/>
    <s v="Malargue"/>
    <s v="Produciendo"/>
    <x v="1"/>
    <n v="8870"/>
    <d v="2019-12-16T00:00:00"/>
    <n v="2.59"/>
    <n v="3.24"/>
    <x v="301"/>
  </r>
  <r>
    <s v="YPF.Md.NCF-222"/>
    <s v="NCF-222"/>
    <s v="Bombeo Mecánico"/>
    <s v="NORTE"/>
    <s v="OPERACIONES MENDOZA NORTE"/>
    <s v="MGS Zona I"/>
    <s v="CF- 01"/>
    <s v="Malargue"/>
    <s v="Produciendo"/>
    <x v="2"/>
    <n v="851"/>
    <d v="2019-09-15T00:00:00"/>
    <n v="2.5299999999999998"/>
    <n v="6.52"/>
    <x v="302"/>
  </r>
  <r>
    <s v="YPF.Md.NCF-216"/>
    <s v="NCF-216"/>
    <s v="Bombeo Mecánico"/>
    <s v="NORTE"/>
    <s v="OPERACIONES MENDOZA NORTE"/>
    <s v="MGS Zona I"/>
    <s v="CF- 02"/>
    <s v="Malargue"/>
    <s v="Produciendo"/>
    <x v="1"/>
    <n v="6100"/>
    <d v="2020-01-18T00:00:00"/>
    <n v="10.199999999999999"/>
    <n v="16.420000000000002"/>
    <x v="303"/>
  </r>
  <r>
    <s v="YPF.Md.NCF-224"/>
    <s v="NCF-224"/>
    <s v="Bombeo Mecánico"/>
    <s v="NORTE"/>
    <s v="OPERACIONES MENDOZA NORTE"/>
    <s v="MGS Zona I"/>
    <s v="CF- 01"/>
    <s v="Malargue"/>
    <s v="Produciendo"/>
    <x v="2"/>
    <n v="2193.31"/>
    <d v="2020-02-18T00:00:00"/>
    <n v="4.76"/>
    <n v="12.08"/>
    <x v="304"/>
  </r>
  <r>
    <s v="YPF.Md.NLL.a-2013h"/>
    <s v="NLL.a-2013h"/>
    <s v="Cavidad Progresiva"/>
    <s v="NORTE"/>
    <s v="OPERACIONES MENDOZA NORTE"/>
    <s v="MGN Zona I"/>
    <s v="LLANCANELO"/>
    <s v="Malargue"/>
    <s v="Produciendo"/>
    <x v="26"/>
    <n v="0"/>
    <d v="2020-02-22T00:00:00"/>
    <n v="0.04"/>
    <n v="9.44"/>
    <x v="305"/>
  </r>
  <r>
    <s v="YPF.MdN.LL.a-2018(h)"/>
    <s v="LL.a-2018(h)"/>
    <s v="Cavidad Progresiva"/>
    <s v="NORTE"/>
    <s v="OPERACIONES MENDOZA NORTE"/>
    <s v="MGN Zona I"/>
    <s v="LLANCANELO"/>
    <s v="Malargue"/>
    <s v="Produciendo"/>
    <x v="27"/>
    <n v="43"/>
    <d v="2019-12-29T00:00:00"/>
    <n v="0.02"/>
    <n v="4.45"/>
    <x v="306"/>
  </r>
  <r>
    <s v="YPF.MdN.LL.a-2019(h)"/>
    <s v="LL.a-2019(h)"/>
    <s v="Cavidad Progresiva"/>
    <s v="NORTE"/>
    <s v="OPERACIONES MENDOZA NORTE"/>
    <s v="MGN Zona I"/>
    <s v="LLANCANELO"/>
    <s v="Malargue"/>
    <s v="Produciendo"/>
    <x v="27"/>
    <n v="233"/>
    <d v="2019-11-28T00:00:00"/>
    <n v="0.02"/>
    <n v="2.41"/>
    <x v="307"/>
  </r>
  <r>
    <s v="YPF.MdN.LDM-73"/>
    <s v="LDM-73"/>
    <s v="Bombeo Mecánico"/>
    <s v="NORTE"/>
    <s v="OPERACIONES MENDOZA NORTE"/>
    <s v="MGN Zona I"/>
    <s v="LDLM"/>
    <s v="Malargue"/>
    <s v="Produciendo"/>
    <x v="13"/>
    <n v="18"/>
    <d v="2020-02-15T00:00:00"/>
    <n v="4.55"/>
    <n v="0.2"/>
    <x v="308"/>
  </r>
  <r>
    <s v="YPF.MdN.LDM-79"/>
    <s v="LDM-79"/>
    <s v="Bombeo Mecánico"/>
    <s v="NORTE"/>
    <s v="OPERACIONES MENDOZA NORTE"/>
    <s v="MGN Zona I"/>
    <s v="LDLM"/>
    <s v="Malargue"/>
    <s v="Produciendo"/>
    <x v="13"/>
    <n v="174"/>
    <d v="2019-12-21T00:00:00"/>
    <n v="29.07"/>
    <n v="1.91"/>
    <x v="309"/>
  </r>
  <r>
    <s v="YPF.MdN.LR.a-2"/>
    <s v="LR.a-2"/>
    <s v="Bombeo Mecánico"/>
    <s v="NORTE"/>
    <s v="OPERACIONES MENDOZA NORTE"/>
    <s v="MGN Zona I"/>
    <s v="LDLM"/>
    <s v="Malargue"/>
    <s v="Produciendo"/>
    <x v="13"/>
    <n v="407"/>
    <d v="2020-02-14T00:00:00"/>
    <n v="0.34"/>
    <n v="2.4700000000000002"/>
    <x v="310"/>
  </r>
  <r>
    <s v="YPF.MdN.CF-213(d)"/>
    <s v="CF-213(d)"/>
    <s v="Bombeo Mecánico"/>
    <s v="NORTE"/>
    <s v="OPERACIONES MENDOZA NORTE"/>
    <s v="MGS Zona I"/>
    <s v="CF- 02"/>
    <s v="Malargue"/>
    <s v="Produciendo"/>
    <x v="1"/>
    <n v="68"/>
    <d v="2020-01-08T00:00:00"/>
    <n v="0.81"/>
    <n v="1.21"/>
    <x v="311"/>
  </r>
  <r>
    <s v="YPF.MdN.CF-214(d)"/>
    <s v="CF-214(d)"/>
    <s v="Bombeo Mecánico"/>
    <s v="NORTE"/>
    <s v="OPERACIONES MENDOZA NORTE"/>
    <s v="MGS Zona I"/>
    <s v="CF- 02"/>
    <s v="Malargue"/>
    <s v="Produciendo"/>
    <x v="1"/>
    <n v="266"/>
    <d v="2020-01-04T00:00:00"/>
    <n v="0.63"/>
    <n v="0.93"/>
    <x v="83"/>
  </r>
  <r>
    <s v="YPF.MdN.CF-215(d)"/>
    <s v="CF-215(d)"/>
    <s v="Bombeo Mecánico"/>
    <s v="NORTE"/>
    <s v="OPERACIONES MENDOZA NORTE"/>
    <s v="MGS Zona I"/>
    <s v="CF- 02"/>
    <s v="Malargue"/>
    <s v="Produciendo"/>
    <x v="1"/>
    <n v="1188"/>
    <d v="2019-12-30T00:00:00"/>
    <n v="5.36"/>
    <n v="3.2"/>
    <x v="312"/>
  </r>
  <r>
    <s v="YPF.MdN.CF-232(d)"/>
    <s v="CF-232(d)"/>
    <s v="Bombeo Mecánico"/>
    <s v="NORTE"/>
    <s v="OPERACIONES MENDOZA NORTE"/>
    <s v="MGS Zona I"/>
    <s v="CF- 02"/>
    <s v="Malargue"/>
    <s v="Produciendo"/>
    <x v="1"/>
    <n v="620"/>
    <d v="2019-12-09T00:00:00"/>
    <n v="3.83"/>
    <n v="1.93"/>
    <x v="219"/>
  </r>
  <r>
    <s v="YPF.MdN.CF-233(d)"/>
    <s v="CF-233(d)"/>
    <s v="Plunger Lift"/>
    <s v="NORTE"/>
    <s v="OPERACIONES MENDOZA NORTE"/>
    <s v="MGS Zona I"/>
    <s v="CF- 02"/>
    <s v="Malargue"/>
    <s v="Produciendo"/>
    <x v="1"/>
    <n v="685"/>
    <d v="2019-12-16T00:00:00"/>
    <n v="0.5"/>
    <n v="1.99"/>
    <x v="313"/>
  </r>
  <r>
    <s v="YPF.MdN.CF-231(d)"/>
    <s v="CF-231(d)"/>
    <s v="Cavidad Progresiva"/>
    <s v="NORTE"/>
    <s v="OPERACIONES MENDOZA NORTE"/>
    <s v="MGS Zona I"/>
    <s v="CF- 03"/>
    <s v="Malargue"/>
    <s v="Produciendo"/>
    <x v="4"/>
    <n v="4309.8500000000004"/>
    <d v="2020-03-09T00:00:00"/>
    <n v="2.35"/>
    <n v="2.68"/>
    <x v="314"/>
  </r>
  <r>
    <s v="YPF.MdN.CF-236(d)"/>
    <s v="CF-236(d)"/>
    <s v="Bombeo Mecánico"/>
    <s v="NORTE"/>
    <s v="OPERACIONES MENDOZA NORTE"/>
    <s v="MGS Zona I"/>
    <s v="CF- 03"/>
    <s v="Malargue"/>
    <s v="Produciendo"/>
    <x v="4"/>
    <n v="28653.63"/>
    <d v="2020-01-27T00:00:00"/>
    <n v="4.26"/>
    <n v="2.33"/>
    <x v="315"/>
  </r>
  <r>
    <s v="YPF.MdN.CFS.a-7"/>
    <s v="CFS.a-7"/>
    <s v="Bombeo Mecánico"/>
    <s v="NORTE"/>
    <s v="OPERACIONES MENDOZA NORTE"/>
    <s v="MGS Zona I"/>
    <s v="CF- 03"/>
    <s v="Malargue"/>
    <s v="Produciendo"/>
    <x v="4"/>
    <n v="676.89"/>
    <d v="2020-03-12T00:00:00"/>
    <n v="4.0199999999999996"/>
    <n v="5.78"/>
    <x v="316"/>
  </r>
  <r>
    <s v="YPF.MdN.MDM-100"/>
    <s v="MDM-100"/>
    <s v="Surgente"/>
    <s v="NORTE"/>
    <s v="OPERACIONES MENDOZA NORTE"/>
    <s v="MGS Zona II"/>
    <s v="MDM"/>
    <s v="Malargue"/>
    <s v="Produciendo"/>
    <x v="10"/>
    <n v="3100"/>
    <d v="2020-03-03T00:00:00"/>
    <n v="0.99"/>
    <n v="0.01"/>
    <x v="26"/>
  </r>
  <r>
    <s v="YPF.MdN.MDM-114"/>
    <s v="MDM-114"/>
    <s v="Bombeo Mecánico"/>
    <s v="NORTE"/>
    <s v="OPERACIONES MENDOZA NORTE"/>
    <s v="MGS Zona II"/>
    <s v="MDM"/>
    <s v="Malargue"/>
    <s v="Produciendo"/>
    <x v="10"/>
    <n v="400"/>
    <d v="2020-03-03T00:00:00"/>
    <n v="10.56"/>
    <n v="1.44"/>
    <x v="92"/>
  </r>
  <r>
    <s v="YPF.MdN.LL-2061(h)"/>
    <s v="LL-2061(h)"/>
    <s v="Cavidad Progresiva"/>
    <s v="NORTE"/>
    <s v="OPERACIONES MENDOZA NORTE"/>
    <s v="MGN Zona I"/>
    <s v="LLANCANELO"/>
    <s v="Malargue"/>
    <s v="Produciendo"/>
    <x v="26"/>
    <n v="12"/>
    <d v="2020-03-01T00:00:00"/>
    <n v="0"/>
    <n v="0.65"/>
    <x v="317"/>
  </r>
  <r>
    <s v="YPF.MdN.LR-4"/>
    <s v="LR-4"/>
    <s v="Bombeo Mecánico"/>
    <s v="NORTE"/>
    <s v="OPERACIONES MENDOZA NORTE"/>
    <s v="MGN Zona I"/>
    <s v="LDLM"/>
    <s v="Malargue"/>
    <s v="Produciendo"/>
    <x v="13"/>
    <n v="19"/>
    <d v="2020-01-14T00:00:00"/>
    <n v="0.19"/>
    <n v="0.21"/>
    <x v="318"/>
  </r>
  <r>
    <s v="YPF.MdN.MDM-108"/>
    <s v="MDM-108"/>
    <s v="Bombeo Mecánico"/>
    <s v="NORTE"/>
    <s v="OPERACIONES MENDOZA NORTE"/>
    <s v="MGS Zona II"/>
    <s v="MDM"/>
    <s v="Malargue"/>
    <s v="Produciendo"/>
    <x v="10"/>
    <n v="1010"/>
    <d v="2018-10-24T00:00:00"/>
    <n v="46.11"/>
    <n v="0.99"/>
    <x v="319"/>
  </r>
  <r>
    <s v="YPF.MdN.MdV.x-1"/>
    <s v="MdV.x-1"/>
    <s v="Bombeo Mecánico"/>
    <s v="NORTE"/>
    <s v="OPERACIONES MENDOZA NORTE"/>
    <s v="MGS Zona II"/>
    <s v="MDV"/>
    <s v="Malargue"/>
    <s v="Produciendo"/>
    <x v="28"/>
    <n v="210"/>
    <d v="2020-03-16T00:00:00"/>
    <n v="1.17"/>
    <n v="4.67"/>
    <x v="8"/>
  </r>
  <r>
    <s v="YPF.MdN.LL-2039(h)"/>
    <s v="LL-2039(h)"/>
    <s v="Cavidad Progresiva"/>
    <s v="NORTE"/>
    <s v="OPERACIONES MENDOZA NORTE"/>
    <s v="MGN Zona I"/>
    <s v="LLANCANELO"/>
    <s v="Malargue"/>
    <s v="Produciendo"/>
    <x v="26"/>
    <n v="91.8"/>
    <d v="2020-03-01T00:00:00"/>
    <n v="7.0000000000000007E-2"/>
    <n v="5"/>
    <x v="320"/>
  </r>
  <r>
    <s v="YPF.MdN.LL-2037(h)"/>
    <s v="LL-2037(h)"/>
    <s v="Cavidad Progresiva"/>
    <s v="NORTE"/>
    <s v="OPERACIONES MENDOZA NORTE"/>
    <s v="MGN Zona I"/>
    <s v="LLANCANELO"/>
    <s v="Malargue"/>
    <s v="Produciendo"/>
    <x v="26"/>
    <n v="18"/>
    <d v="2020-02-22T00:00:00"/>
    <n v="0.16"/>
    <n v="0.82"/>
    <x v="321"/>
  </r>
  <r>
    <s v="YPF.MdN.CFS-28"/>
    <s v="CFS-28"/>
    <s v="Bombeo Mecánico"/>
    <s v="NORTE"/>
    <s v="OPERACIONES MENDOZA NORTE"/>
    <s v="MGS Zona I"/>
    <s v="CF- 03"/>
    <s v="Malargue"/>
    <s v="Produciendo"/>
    <x v="4"/>
    <n v="5248.2"/>
    <d v="2020-03-14T00:00:00"/>
    <n v="0.12"/>
    <n v="2.78"/>
    <x v="47"/>
  </r>
  <r>
    <s v="YPF.MdN.LL-2060(h)"/>
    <s v="LL-2060(h)"/>
    <s v="Cavidad Progresiva"/>
    <s v="NORTE"/>
    <s v="OPERACIONES MENDOZA NORTE"/>
    <s v="MGN Zona I"/>
    <s v="LLANCANELO"/>
    <s v="Malargue"/>
    <s v="Produciendo"/>
    <x v="26"/>
    <n v="30.52"/>
    <d v="2020-02-11T00:00:00"/>
    <n v="0"/>
    <n v="4.07"/>
    <x v="322"/>
  </r>
  <r>
    <s v="YPF.MdN.LL-2041(h)"/>
    <s v="LL-2041(h)"/>
    <s v="Cavidad Progresiva"/>
    <s v="NORTE"/>
    <s v="OPERACIONES MENDOZA NORTE"/>
    <s v="MGN Zona I"/>
    <s v="LLANCANELO"/>
    <s v="Malargue"/>
    <s v="Produciendo"/>
    <x v="26"/>
    <n v="26.22"/>
    <d v="2020-02-12T00:00:00"/>
    <n v="0.05"/>
    <n v="7.46"/>
    <x v="323"/>
  </r>
  <r>
    <s v="YPF.MdN.LL-2035(h)"/>
    <s v="LL-2035(h)"/>
    <s v="Cavidad Progresiva"/>
    <s v="NORTE"/>
    <s v="OPERACIONES MENDOZA NORTE"/>
    <s v="MGN Zona I"/>
    <s v="LLANCANELO"/>
    <s v="Malargue"/>
    <s v="Produciendo"/>
    <x v="26"/>
    <n v="115.59"/>
    <d v="2020-03-04T00:00:00"/>
    <n v="0.03"/>
    <n v="5.84"/>
    <x v="324"/>
  </r>
  <r>
    <s v="YPF.MdN.CF.IA-237"/>
    <s v="CF.IA-237"/>
    <s v="Inyección"/>
    <s v="NORTE"/>
    <s v="OPERACIONES MENDOZA NORTE"/>
    <s v="MGS Zona I"/>
    <s v="CF- 01"/>
    <s v="Malargue"/>
    <s v="Produciendo"/>
    <x v="3"/>
    <n v="0"/>
    <d v="2019-02-18T00:00:00"/>
    <n v="0"/>
    <n v="0"/>
    <x v="4"/>
  </r>
  <r>
    <s v="YPF.MdN.CFS.a-9"/>
    <s v="CFS.a-9"/>
    <s v="Bombeo Mecánico"/>
    <s v="NORTE"/>
    <s v="OPERACIONES MENDOZA NORTE"/>
    <s v="MGS Zona I"/>
    <s v="CF- 03"/>
    <s v="Malargue"/>
    <s v="Produciendo"/>
    <x v="4"/>
    <n v="100"/>
    <d v="2020-03-09T00:00:00"/>
    <n v="16.82"/>
    <n v="0.17"/>
    <x v="325"/>
  </r>
  <r>
    <s v="YPF.MdN.LAS-57(I)"/>
    <s v="LAS-57(I)"/>
    <s v="Cavidad Progresiva"/>
    <s v="NORTE"/>
    <s v="OPERACIONES MENDOZA NORTE"/>
    <s v="MGS Zona II"/>
    <s v="LAS- 01"/>
    <s v="Malargue"/>
    <s v="Produciendo"/>
    <x v="6"/>
    <n v="10"/>
    <d v="2020-03-14T00:00:00"/>
    <n v="21.84"/>
    <n v="3.66"/>
    <x v="326"/>
  </r>
  <r>
    <s v="YPF.MdN.LAS-61(I)"/>
    <s v="LAS-61(I)"/>
    <s v="Cavidad Progresiva"/>
    <s v="NORTE"/>
    <s v="OPERACIONES MENDOZA NORTE"/>
    <s v="MGS Zona II"/>
    <s v="LAS- 01"/>
    <s v="Malargue"/>
    <s v="Produciendo"/>
    <x v="6"/>
    <n v="5"/>
    <d v="2020-02-20T00:00:00"/>
    <n v="146.54"/>
    <n v="5.15"/>
    <x v="327"/>
  </r>
  <r>
    <s v="YPF.MdN.LCa.a-153(d)"/>
    <s v="LCa.a-153(d)"/>
    <s v="Bombeo Mecánico"/>
    <s v="NORTE"/>
    <s v="OPERACIONES MENDOZA NORTE"/>
    <s v="MGS Zona II"/>
    <s v="LCA- 01"/>
    <s v="Malargue"/>
    <s v="Produciendo"/>
    <x v="12"/>
    <n v="1784"/>
    <d v="2020-03-16T00:00:00"/>
    <n v="32.369999999999997"/>
    <n v="2.2799999999999998"/>
    <x v="328"/>
  </r>
  <r>
    <s v="YPF.MdN.LR-7(h)"/>
    <s v="LR-7(h)"/>
    <s v="Bombeo Mecánico"/>
    <s v="NORTE"/>
    <s v="OPERACIONES MENDOZA NORTE"/>
    <s v="MGN Zona I"/>
    <s v="LDLM"/>
    <s v="Malargue"/>
    <s v="Produciendo"/>
    <x v="13"/>
    <n v="26"/>
    <d v="2020-03-17T00:00:00"/>
    <n v="1.68"/>
    <n v="0.3"/>
    <x v="329"/>
  </r>
  <r>
    <s v="YPF.MdN.LL-2065(h)"/>
    <s v="LL-2065(h)"/>
    <s v="Cavidad Progresiva"/>
    <s v="NORTE"/>
    <s v="OPERACIONES MENDOZA NORTE"/>
    <s v="MGN Zona I"/>
    <s v="LLANCANELO"/>
    <s v="Malargue"/>
    <s v="Produciendo"/>
    <x v="26"/>
    <n v="48.1"/>
    <d v="2020-02-22T00:00:00"/>
    <n v="0.13"/>
    <n v="1.67"/>
    <x v="330"/>
  </r>
  <r>
    <s v="YPF.MdN.LL-2102(h)"/>
    <s v="LL-2102(h)"/>
    <s v="Cavidad Progresiva"/>
    <s v="NORTE"/>
    <s v="OPERACIONES MENDOZA NORTE"/>
    <s v="MGN Zona I"/>
    <s v="LLANCANELO"/>
    <s v="Malargue"/>
    <s v="Produciendo"/>
    <x v="29"/>
    <n v="13"/>
    <d v="2020-03-17T00:00:00"/>
    <n v="0.02"/>
    <n v="1.83"/>
    <x v="331"/>
  </r>
  <r>
    <s v="YPF.MdN.LL-2059(h)"/>
    <s v="LL-2059(h)"/>
    <s v="Cavidad Progresiva"/>
    <s v="NORTE"/>
    <s v="OPERACIONES MENDOZA NORTE"/>
    <s v="MGN Zona I"/>
    <s v="LLANCANELO"/>
    <s v="Malargue"/>
    <s v="Produciendo"/>
    <x v="26"/>
    <n v="18.23"/>
    <d v="2020-02-29T00:00:00"/>
    <n v="0.02"/>
    <n v="4.3899999999999997"/>
    <x v="332"/>
  </r>
  <r>
    <s v="YPF.MdN.LL-2030(h)"/>
    <s v="LL-2030(h)"/>
    <s v="Cavidad Progresiva"/>
    <s v="NORTE"/>
    <s v="OPERACIONES MENDOZA NORTE"/>
    <s v="MGN Zona I"/>
    <s v="LLANCANELO"/>
    <s v="Malargue"/>
    <s v="Produciendo"/>
    <x v="23"/>
    <n v="116.9"/>
    <d v="2020-02-29T00:00:00"/>
    <n v="0.22"/>
    <n v="5.13"/>
    <x v="333"/>
  </r>
  <r>
    <s v="YPF.MdN.LL-2101(h)"/>
    <s v="LL-2101(h)"/>
    <s v="Cavidad Progresiva"/>
    <s v="NORTE"/>
    <s v="OPERACIONES MENDOZA NORTE"/>
    <s v="MGN Zona I"/>
    <s v="LLANCANELO"/>
    <s v="Malargue"/>
    <s v="Produciendo"/>
    <x v="29"/>
    <n v="18"/>
    <d v="2020-03-17T00:00:00"/>
    <n v="0.02"/>
    <n v="3.36"/>
    <x v="334"/>
  </r>
  <r>
    <s v="YPF.MdN.LL-2031(h)"/>
    <s v="LL-2031(h)"/>
    <s v="Cavidad Progresiva"/>
    <s v="NORTE"/>
    <s v="OPERACIONES MENDOZA NORTE"/>
    <s v="MGN Zona I"/>
    <s v="LLANCANELO"/>
    <s v="Malargue"/>
    <s v="Produciendo"/>
    <x v="23"/>
    <n v="123"/>
    <d v="2020-03-19T00:00:00"/>
    <n v="0.28000000000000003"/>
    <n v="8.7899999999999991"/>
    <x v="335"/>
  </r>
  <r>
    <s v="YPF.MdN.LL.a-2100(h)"/>
    <s v="LL.a-2100(h)"/>
    <s v="Cavidad Progresiva"/>
    <s v="NORTE"/>
    <s v="OPERACIONES MENDOZA NORTE"/>
    <s v="MGN Zona I"/>
    <s v="LLANCANELO"/>
    <s v="Malargue"/>
    <s v="Produciendo"/>
    <x v="29"/>
    <n v="13"/>
    <d v="2020-03-17T00:00:00"/>
    <n v="0.02"/>
    <n v="2.87"/>
    <x v="336"/>
  </r>
  <r>
    <s v="YPF.MdN.LL-2045(h)"/>
    <s v="LL-2045(h)"/>
    <s v="Cavidad Progresiva"/>
    <s v="NORTE"/>
    <s v="OPERACIONES MENDOZA NORTE"/>
    <s v="MGN Zona I"/>
    <s v="LLANCANELO"/>
    <s v="Malargue"/>
    <s v="Produciendo"/>
    <x v="27"/>
    <n v="315"/>
    <d v="2020-02-11T00:00:00"/>
    <n v="0.01"/>
    <n v="2.88"/>
    <x v="337"/>
  </r>
  <r>
    <s v="YPF.MdN.CF.IA-240(d)"/>
    <s v="CF.IA-240(d)"/>
    <s v="Inyección"/>
    <s v="NORTE"/>
    <s v="OPERACIONES MENDOZA NORTE"/>
    <s v="MGS Zona I"/>
    <s v="CF- 01"/>
    <s v="Malargue"/>
    <s v="Produciendo"/>
    <x v="3"/>
    <n v="0"/>
    <d v="2019-02-18T00:00:00"/>
    <n v="0"/>
    <n v="0"/>
    <x v="4"/>
  </r>
  <r>
    <s v="YPF.MdN.CF.IA-238(d)"/>
    <s v="CF.IA-238(d)"/>
    <s v="Inyección"/>
    <s v="NORTE"/>
    <s v="OPERACIONES MENDOZA NORTE"/>
    <s v="MGS Zona I"/>
    <s v="CF- 01"/>
    <s v="Malargue"/>
    <s v="Produciendo"/>
    <x v="3"/>
    <n v="0"/>
    <d v="2019-02-18T00:00:00"/>
    <n v="0"/>
    <n v="0"/>
    <x v="4"/>
  </r>
  <r>
    <s v="YPF.MdN.LL-2104(h)"/>
    <s v="LL-2104(h)"/>
    <s v="Cavidad Progresiva"/>
    <s v="NORTE"/>
    <s v="OPERACIONES MENDOZA NORTE"/>
    <s v="MGN Zona I"/>
    <s v="LLANCANELO"/>
    <s v="Malargue"/>
    <s v="Produciendo"/>
    <x v="29"/>
    <n v="98"/>
    <d v="2020-03-17T00:00:00"/>
    <n v="0.03"/>
    <n v="3.84"/>
    <x v="338"/>
  </r>
  <r>
    <s v="YPF.MdN.LL-2103(h)"/>
    <s v="LL-2103(h)"/>
    <s v="Cavidad Progresiva"/>
    <s v="NORTE"/>
    <s v="OPERACIONES MENDOZA NORTE"/>
    <s v="MGN Zona I"/>
    <s v="LLANCANELO"/>
    <s v="Malargue"/>
    <s v="Produciendo"/>
    <x v="29"/>
    <n v="175"/>
    <d v="2020-03-17T00:00:00"/>
    <n v="0.03"/>
    <n v="4.8"/>
    <x v="138"/>
  </r>
  <r>
    <s v="YPF.MdN.CF-249(d)"/>
    <s v="CF-249(d)"/>
    <s v="Bombeo Mecánico"/>
    <s v="NORTE"/>
    <s v="OPERACIONES MENDOZA NORTE"/>
    <s v="MGS Zona I"/>
    <s v="CF- 01"/>
    <s v="Malargue"/>
    <s v="Produciendo"/>
    <x v="2"/>
    <n v="673.6"/>
    <d v="2020-03-12T00:00:00"/>
    <n v="38.299999999999997"/>
    <n v="6.59"/>
    <x v="339"/>
  </r>
  <r>
    <s v="YPF.MdN.CF-246(d)"/>
    <s v="CF-246(d)"/>
    <s v="Bombeo Mecánico"/>
    <s v="NORTE"/>
    <s v="OPERACIONES MENDOZA NORTE"/>
    <s v="MGS Zona I"/>
    <s v="CF- 01"/>
    <s v="Malargue"/>
    <s v="Produciendo"/>
    <x v="2"/>
    <n v="250"/>
    <d v="2020-03-04T00:00:00"/>
    <n v="7.17"/>
    <n v="6.96"/>
    <x v="340"/>
  </r>
  <r>
    <s v="YPF.MdN.CF-247(d)"/>
    <s v="CF-247(d)"/>
    <s v="Bombeo Mecánico"/>
    <s v="NORTE"/>
    <s v="OPERACIONES MENDOZA NORTE"/>
    <s v="MGS Zona I"/>
    <s v="CF- 01"/>
    <s v="Malargue"/>
    <s v="Produciendo"/>
    <x v="2"/>
    <n v="100.32"/>
    <d v="2020-03-17T00:00:00"/>
    <n v="23.67"/>
    <n v="2.84"/>
    <x v="341"/>
  </r>
  <r>
    <s v="YPF.MdN.CF-239(d)"/>
    <s v="CF-239(d)"/>
    <s v="Bombeo Mecánico"/>
    <s v="NORTE"/>
    <s v="OPERACIONES MENDOZA NORTE"/>
    <s v="MGS Zona I"/>
    <s v="CF- 01"/>
    <s v="Malargue"/>
    <s v="Produciendo"/>
    <x v="2"/>
    <n v="613"/>
    <d v="2020-03-04T00:00:00"/>
    <n v="48.51"/>
    <n v="0.48"/>
    <x v="342"/>
  </r>
  <r>
    <s v="YPF.MdN.CF.IA-124(d)(I)"/>
    <s v="CF.IA-124(d)(I)"/>
    <s v="Inyección"/>
    <s v="NORTE"/>
    <s v="OPERACIONES MENDOZA NORTE"/>
    <s v="MGS Zona I"/>
    <s v="CF- 01"/>
    <s v="Malargue"/>
    <s v="Produciendo"/>
    <x v="3"/>
    <n v="0"/>
    <d v="2019-02-18T00:00:00"/>
    <n v="0"/>
    <n v="0"/>
    <x v="4"/>
  </r>
  <r>
    <s v="YPF.MdN.CF.IA-241(d)"/>
    <s v="CF.IA-241(d)"/>
    <s v="Inyección"/>
    <s v="NORTE"/>
    <s v="OPERACIONES MENDOZA NORTE"/>
    <s v="MGS Zona I"/>
    <s v="CF- 01"/>
    <s v="Malargue"/>
    <s v="Produciendo"/>
    <x v="3"/>
    <n v="0"/>
    <d v="2019-02-18T00:00:00"/>
    <n v="0"/>
    <n v="0"/>
    <x v="4"/>
  </r>
  <r>
    <s v="YPF.MdN.CF.IA-243(d)"/>
    <s v="CF.IA-243(d)"/>
    <s v="Inyección"/>
    <s v="NORTE"/>
    <s v="OPERACIONES MENDOZA NORTE"/>
    <s v="MGS Zona I"/>
    <s v="CF- 01"/>
    <s v="Malargue"/>
    <s v="Produciendo"/>
    <x v="3"/>
    <n v="0"/>
    <d v="2019-02-18T00:00:00"/>
    <n v="0"/>
    <n v="0"/>
    <x v="4"/>
  </r>
  <r>
    <s v="YPF.MdN.LL-2042(h)"/>
    <s v="LL-2042(h)"/>
    <s v="Cavidad Progresiva"/>
    <s v="NORTE"/>
    <s v="OPERACIONES MENDOZA NORTE"/>
    <s v="MGN Zona I"/>
    <s v="LLANCANELO"/>
    <s v="Malargue"/>
    <s v="Produciendo"/>
    <x v="27"/>
    <n v="20.25"/>
    <d v="2019-11-25T00:00:00"/>
    <n v="0.06"/>
    <n v="3.85"/>
    <x v="343"/>
  </r>
  <r>
    <s v="YPF.MdN.LL-2033(h)"/>
    <s v="LL-2033(h)"/>
    <s v="Cavidad Progresiva"/>
    <s v="NORTE"/>
    <s v="OPERACIONES MENDOZA NORTE"/>
    <s v="MGN Zona I"/>
    <s v="LLANCANELO"/>
    <s v="Malargue"/>
    <s v="Produciendo"/>
    <x v="23"/>
    <n v="24.32"/>
    <d v="2020-02-22T00:00:00"/>
    <n v="0.55000000000000004"/>
    <n v="5.3"/>
    <x v="344"/>
  </r>
  <r>
    <s v="YPF.MdN.LL-2058(h)"/>
    <s v="LL-2058(h)"/>
    <s v="Cavidad Progresiva"/>
    <s v="NORTE"/>
    <s v="OPERACIONES MENDOZA NORTE"/>
    <s v="MGN Zona I"/>
    <s v="LLANCANELO"/>
    <s v="Malargue"/>
    <s v="Produciendo"/>
    <x v="30"/>
    <n v="96"/>
    <d v="2020-02-16T00:00:00"/>
    <n v="0.02"/>
    <n v="3.79"/>
    <x v="345"/>
  </r>
  <r>
    <s v="YPF.MdN.LL-2032(h)"/>
    <s v="LL-2032(h)"/>
    <s v="Cavidad Progresiva"/>
    <s v="NORTE"/>
    <s v="OPERACIONES MENDOZA NORTE"/>
    <s v="MGN Zona I"/>
    <s v="LLANCANELO"/>
    <s v="Malargue"/>
    <s v="Produciendo"/>
    <x v="23"/>
    <n v="23.6"/>
    <d v="2020-02-22T00:00:00"/>
    <n v="0.01"/>
    <n v="5.91"/>
    <x v="346"/>
  </r>
  <r>
    <s v="YPF.MdN.CF-248(d)"/>
    <s v="CF-248(d)"/>
    <s v="Bombeo Mecánico"/>
    <s v="NORTE"/>
    <s v="OPERACIONES MENDOZA NORTE"/>
    <s v="MGS Zona I"/>
    <s v="CF- 01"/>
    <s v="Malargue"/>
    <s v="Produciendo"/>
    <x v="2"/>
    <n v="218"/>
    <d v="2020-03-04T00:00:00"/>
    <n v="10.42"/>
    <n v="4.72"/>
    <x v="347"/>
  </r>
  <r>
    <s v="YPF.MdN.CF.IA-244(d)"/>
    <s v="CF.IA-244(d)"/>
    <s v="Inyección"/>
    <s v="NORTE"/>
    <s v="OPERACIONES MENDOZA NORTE"/>
    <s v="MGS Zona I"/>
    <s v="CF- 01"/>
    <s v="Malargue"/>
    <s v="Produciendo"/>
    <x v="3"/>
    <n v="0"/>
    <d v="2019-02-18T00:00:00"/>
    <n v="0"/>
    <n v="0"/>
    <x v="4"/>
  </r>
  <r>
    <s v="YPF.MdN.LL-2038(h)"/>
    <s v="LL-2038(h)"/>
    <s v="Cavidad Progresiva"/>
    <s v="NORTE"/>
    <s v="OPERACIONES MENDOZA NORTE"/>
    <s v="MGN Zona I"/>
    <s v="LLANCANELO"/>
    <s v="Malargue"/>
    <s v="Produciendo"/>
    <x v="30"/>
    <n v="125"/>
    <d v="2020-02-16T00:00:00"/>
    <n v="0.04"/>
    <n v="6.5"/>
    <x v="348"/>
  </r>
  <r>
    <s v="YPF.MdN.LL.a-2200(h)"/>
    <s v="LL.a-2200(h)"/>
    <s v="Cavidad Progresiva"/>
    <s v="NORTE"/>
    <s v="OPERACIONES MENDOZA NORTE"/>
    <s v="MGN Zona I"/>
    <s v="LLANCANELO"/>
    <s v="Malargue"/>
    <s v="Produciendo"/>
    <x v="27"/>
    <n v="16.34"/>
    <d v="2019-11-28T00:00:00"/>
    <n v="0.01"/>
    <n v="3.57"/>
    <x v="349"/>
  </r>
  <r>
    <s v="YPF.MdN.CF.IA-242(d)"/>
    <s v="CF.IA-242(d)"/>
    <s v="Inyección"/>
    <s v="NORTE"/>
    <s v="OPERACIONES MENDOZA NORTE"/>
    <s v="MGS Zona I"/>
    <s v="CF- 01"/>
    <s v="Malargue"/>
    <s v="Produciendo"/>
    <x v="3"/>
    <n v="0"/>
    <d v="2019-02-18T00:00:00"/>
    <n v="0"/>
    <n v="0"/>
    <x v="4"/>
  </r>
  <r>
    <s v="YPF.MdN.CF-217(d)"/>
    <s v="CF-217(d)"/>
    <s v="Inyección"/>
    <s v="NORTE"/>
    <s v="OPERACIONES MENDOZA NORTE"/>
    <s v="MGS Zona I"/>
    <s v="CF- 02"/>
    <s v="Malargue"/>
    <s v="Produciendo"/>
    <x v="3"/>
    <n v="0"/>
    <d v="2019-12-27T00:00:00"/>
    <n v="0"/>
    <n v="0"/>
    <x v="4"/>
  </r>
  <r>
    <s v="YPF.MdN.LL-2089(h)"/>
    <s v="LL-2089(h)"/>
    <s v="Cavidad Progresiva"/>
    <s v="NORTE"/>
    <s v="OPERACIONES MENDOZA NORTE"/>
    <s v="MGN Zona I"/>
    <s v="LLANCANELO"/>
    <s v="Malargue"/>
    <s v="Produciendo"/>
    <x v="27"/>
    <n v="373.6"/>
    <d v="2020-02-29T00:00:00"/>
    <n v="0.03"/>
    <n v="5.37"/>
    <x v="350"/>
  </r>
  <r>
    <s v="YPF.MdN.CF-234(d)"/>
    <s v="CF-234(d)"/>
    <s v="Bombeo Mecánico"/>
    <s v="NORTE"/>
    <s v="OPERACIONES MENDOZA NORTE"/>
    <s v="MGS Zona I"/>
    <s v="CF- 03"/>
    <s v="Malargue"/>
    <s v="Produciendo"/>
    <x v="4"/>
    <n v="15768.56"/>
    <d v="2020-03-18T00:00:00"/>
    <n v="1.62"/>
    <n v="4.12"/>
    <x v="351"/>
  </r>
  <r>
    <s v="YPF.MdN.LL-2056(h)"/>
    <s v="LL-2056(h)"/>
    <s v="Cavidad Progresiva"/>
    <s v="NORTE"/>
    <s v="OPERACIONES MENDOZA NORTE"/>
    <s v="MGN Zona I"/>
    <s v="LLANCANELO"/>
    <s v="Malargue"/>
    <s v="Produciendo"/>
    <x v="30"/>
    <n v="102"/>
    <d v="2020-02-16T00:00:00"/>
    <n v="0.03"/>
    <n v="7.6"/>
    <x v="352"/>
  </r>
  <r>
    <s v="YPF.MdN.CFS-15"/>
    <s v="CFS-15"/>
    <s v="Bombeo Mecánico"/>
    <s v="NORTE"/>
    <s v="OPERACIONES MENDOZA NORTE"/>
    <s v="MGS Zona I"/>
    <s v="CF- 03"/>
    <s v="Malargue"/>
    <s v="Produciendo"/>
    <x v="4"/>
    <n v="1219.2"/>
    <d v="2020-03-09T00:00:00"/>
    <n v="41.27"/>
    <n v="2.23"/>
    <x v="353"/>
  </r>
  <r>
    <s v="YPF.MdN.CF-221(d)(I)"/>
    <s v="CF-221(d)(I)"/>
    <s v="Bombeo Mecánico"/>
    <s v="NORTE"/>
    <s v="OPERACIONES MENDOZA NORTE"/>
    <s v="MGS Zona I"/>
    <s v="CF- 01"/>
    <s v="Malargue"/>
    <s v="Produciendo"/>
    <x v="2"/>
    <n v="870"/>
    <d v="2020-03-14T00:00:00"/>
    <n v="40.76"/>
    <n v="12.08"/>
    <x v="354"/>
  </r>
  <r>
    <s v="YPF.Md.NCF.x-3"/>
    <s v="NCF-0003"/>
    <s v="Bombeo Mecánico"/>
    <s v="NORTE"/>
    <s v="OPERACIONES MENDOZA NORTE"/>
    <s v="MGS Zona I"/>
    <s v="CF- 01"/>
    <s v="Malargue"/>
    <s v="Produciendo"/>
    <x v="2"/>
    <n v="105"/>
    <d v="2020-01-21T00:00:00"/>
    <n v="9.6300000000000008"/>
    <n v="5.2"/>
    <x v="355"/>
  </r>
  <r>
    <s v="YPF.MdN.LAS.IA-78(d)"/>
    <s v="LAS.IA-78(d)"/>
    <s v="Cavidad Progresiva"/>
    <s v="NORTE"/>
    <s v="OPERACIONES MENDOZA NORTE"/>
    <s v="MGS Zona II"/>
    <s v="LAS1(LAS23)"/>
    <s v="Malargue"/>
    <s v="Produciendo"/>
    <x v="7"/>
    <n v="5"/>
    <d v="2020-03-15T00:00:00"/>
    <n v="44.77"/>
    <n v="8.09"/>
    <x v="356"/>
  </r>
  <r>
    <s v="YPF.MdN.LA.a-21(d)"/>
    <s v="LA.a-21(d)"/>
    <s v="Bombeo Mecánico"/>
    <s v="NORTE"/>
    <s v="OPERACIONES MENDOZA NORTE"/>
    <s v="MGS Zona II"/>
    <s v="LA TKS ELEVADOS"/>
    <s v="Malargue"/>
    <s v="Produciendo"/>
    <x v="31"/>
    <n v="130"/>
    <d v="2020-03-04T00:00:00"/>
    <n v="10.43"/>
    <n v="5.03"/>
    <x v="357"/>
  </r>
  <r>
    <s v="YPF.MdN.LAS.IA-82(d)"/>
    <s v="LAS.IA-82(d)"/>
    <s v="Cavidad Progresiva"/>
    <s v="NORTE"/>
    <s v="OPERACIONES MENDOZA NORTE"/>
    <s v="MGS Zona II"/>
    <s v="LAS- 01"/>
    <s v="Malargue"/>
    <s v="Produciendo"/>
    <x v="6"/>
    <n v="5"/>
    <d v="2020-02-21T00:00:00"/>
    <n v="25.96"/>
    <n v="12.77"/>
    <x v="358"/>
  </r>
  <r>
    <s v="YPF.MdN.LAS.IA-77(d)"/>
    <s v="LAS.IA-77(d)"/>
    <s v="Inyección"/>
    <s v="NORTE"/>
    <s v="OPERACIONES MENDOZA NORTE"/>
    <s v="MGS Zona II"/>
    <s v="LAS1(LAS23)"/>
    <s v="Malargue"/>
    <s v="Produciendo"/>
    <x v="5"/>
    <n v="0"/>
    <d v="2020-02-13T00:00:00"/>
    <n v="0"/>
    <n v="0"/>
    <x v="4"/>
  </r>
  <r>
    <s v="YPF.Md.NCF-161"/>
    <s v="NCF-161"/>
    <s v="Inyección"/>
    <s v="NORTE"/>
    <s v="OPERACIONES MENDOZA NORTE"/>
    <s v="MGS Zona I"/>
    <s v="CF- 01"/>
    <s v="Malargue"/>
    <s v="Produciendo"/>
    <x v="3"/>
    <n v="0"/>
    <d v="2019-02-18T00:00:00"/>
    <n v="0"/>
    <n v="0"/>
    <x v="4"/>
  </r>
  <r>
    <s v="YPF.MdN.CFS-21"/>
    <s v="CFS-21"/>
    <s v="Bombeo Mecánico"/>
    <s v="NORTE"/>
    <s v="OPERACIONES MENDOZA NORTE"/>
    <s v="MGS Zona I"/>
    <s v="CF- 03"/>
    <s v="Malargue"/>
    <s v="Produciendo"/>
    <x v="4"/>
    <n v="662.5"/>
    <d v="2020-03-15T00:00:00"/>
    <n v="23.21"/>
    <n v="2.76"/>
    <x v="359"/>
  </r>
  <r>
    <s v="YPF.MdN.CF-252(d)"/>
    <s v="CF-252(d)"/>
    <s v="Bombeo Mecánico"/>
    <s v="NORTE"/>
    <s v="OPERACIONES MENDOZA NORTE"/>
    <s v="MGS Zona I"/>
    <s v="CF- 01"/>
    <s v="Malargue"/>
    <s v="Produciendo"/>
    <x v="2"/>
    <n v="488"/>
    <d v="2020-03-07T00:00:00"/>
    <n v="8.59"/>
    <n v="6.54"/>
    <x v="360"/>
  </r>
  <r>
    <s v="YPF.MdN.CF-256(d)"/>
    <s v="CF-256(d)"/>
    <s v="Bombeo Mecánico"/>
    <s v="NORTE"/>
    <s v="OPERACIONES MENDOZA NORTE"/>
    <s v="MGS Zona I"/>
    <s v="CF- 01"/>
    <s v="Malargue"/>
    <s v="Produciendo"/>
    <x v="2"/>
    <n v="139"/>
    <d v="2020-02-07T00:00:00"/>
    <n v="53.9"/>
    <n v="14.8"/>
    <x v="361"/>
  </r>
  <r>
    <s v="YPF.MdN.CF-257(d)"/>
    <s v="CF-257(d)"/>
    <s v="Bombeo Mecánico"/>
    <s v="NORTE"/>
    <s v="OPERACIONES MENDOZA NORTE"/>
    <s v="MGS Zona I"/>
    <s v="CF- 01"/>
    <s v="Malargue"/>
    <s v="Produciendo"/>
    <x v="2"/>
    <n v="319"/>
    <d v="2020-03-07T00:00:00"/>
    <n v="5.95"/>
    <n v="3.6"/>
    <x v="362"/>
  </r>
  <r>
    <s v="YPF.MdN.LA.a-25(d)"/>
    <s v="LA.a-25(d)"/>
    <s v="Bombeo Mecánico"/>
    <s v="NORTE"/>
    <s v="OPERACIONES MENDOZA NORTE"/>
    <s v="MGS Zona II"/>
    <s v="LA TKS ELEVADOS"/>
    <s v="Malargue"/>
    <s v="Produciendo"/>
    <x v="31"/>
    <n v="300"/>
    <d v="2020-01-22T00:00:00"/>
    <n v="6.83"/>
    <n v="6.3"/>
    <x v="363"/>
  </r>
  <r>
    <s v="YPF.MdN.MDM-122"/>
    <s v="MDM-122"/>
    <s v="Cavidad Progresiva"/>
    <s v="NORTE"/>
    <s v="OPERACIONES MENDOZA NORTE"/>
    <s v="MGS Zona II"/>
    <s v="MDMO"/>
    <s v="Malargue"/>
    <s v="Produciendo"/>
    <x v="17"/>
    <n v="550"/>
    <d v="2020-03-19T00:00:00"/>
    <n v="6.8"/>
    <n v="3.5"/>
    <x v="364"/>
  </r>
  <r>
    <s v="YPF.MdN.LAS-42(I)"/>
    <s v="LAS-42(I)"/>
    <s v="Cavidad Progresiva"/>
    <s v="NORTE"/>
    <s v="OPERACIONES MENDOZA NORTE"/>
    <s v="MGS Zona II"/>
    <s v="LAS- 01"/>
    <s v="Malargue"/>
    <s v="Produciendo"/>
    <x v="6"/>
    <n v="10"/>
    <d v="2020-02-24T00:00:00"/>
    <n v="44.08"/>
    <n v="5.55"/>
    <x v="365"/>
  </r>
  <r>
    <s v="YPF.MdN.MDM.a-123"/>
    <s v="MDM.a-123"/>
    <s v="Bombeo Mecánico"/>
    <s v="NORTE"/>
    <s v="OPERACIONES MENDOZA NORTE"/>
    <s v="MGS Zona II"/>
    <s v="MDMO"/>
    <s v="Malargue"/>
    <s v="Produciendo"/>
    <x v="17"/>
    <n v="160"/>
    <d v="2020-02-18T00:00:00"/>
    <n v="15.76"/>
    <n v="3.14"/>
    <x v="366"/>
  </r>
  <r>
    <s v="YPF.MdN.CF-259(d)"/>
    <s v="CF-259(d)"/>
    <s v="Bombeo Mecánico"/>
    <s v="NORTE"/>
    <s v="OPERACIONES MENDOZA NORTE"/>
    <s v="MGS Zona I"/>
    <s v="CF- 01"/>
    <s v="Malargue"/>
    <s v="Produciendo"/>
    <x v="2"/>
    <n v="17.399999999999999"/>
    <d v="2020-03-17T00:00:00"/>
    <n v="49.31"/>
    <n v="7.79"/>
    <x v="367"/>
  </r>
  <r>
    <s v="YPF.MdN.CF-264(d)"/>
    <s v="CF-264(d)"/>
    <s v="Electro Sumergible"/>
    <s v="NORTE"/>
    <s v="OPERACIONES MENDOZA NORTE"/>
    <s v="MGS Zona I"/>
    <s v="CF- 01"/>
    <s v="Malargue"/>
    <s v="Produciendo"/>
    <x v="2"/>
    <n v="49"/>
    <d v="2020-03-14T00:00:00"/>
    <n v="84.86"/>
    <n v="3.39"/>
    <x v="368"/>
  </r>
  <r>
    <s v="YPF.MdN.CF-258(d)"/>
    <s v="CF-258(d)"/>
    <s v="Bombeo Mecánico"/>
    <s v="NORTE"/>
    <s v="OPERACIONES MENDOZA NORTE"/>
    <s v="MGS Zona I"/>
    <s v="CF- 01"/>
    <s v="Malargue"/>
    <s v="Produciendo"/>
    <x v="2"/>
    <n v="110"/>
    <d v="2020-03-07T00:00:00"/>
    <n v="2.44"/>
    <n v="3.62"/>
    <x v="369"/>
  </r>
  <r>
    <s v="YPF.MdN.CF-269(d)"/>
    <s v="CF-269(d)"/>
    <s v="Bombeo Mecánico"/>
    <s v="NORTE"/>
    <s v="OPERACIONES MENDOZA NORTE"/>
    <s v="MGS Zona I"/>
    <s v="CF- 01"/>
    <s v="Malargue"/>
    <s v="Produciendo"/>
    <x v="2"/>
    <n v="148"/>
    <d v="2020-02-20T00:00:00"/>
    <n v="4.01"/>
    <n v="6.62"/>
    <x v="370"/>
  </r>
  <r>
    <s v="YPF.MdN.CF-268(d)"/>
    <s v="CF-268(d)"/>
    <s v="Bombeo Mecánico"/>
    <s v="NORTE"/>
    <s v="OPERACIONES MENDOZA NORTE"/>
    <s v="MGS Zona I"/>
    <s v="CF- 01"/>
    <s v="Malargue"/>
    <s v="Produciendo"/>
    <x v="2"/>
    <n v="154"/>
    <d v="2020-03-18T00:00:00"/>
    <n v="10.45"/>
    <n v="2.62"/>
    <x v="371"/>
  </r>
  <r>
    <s v="YPF.MdN.CF.IA-262(d)"/>
    <s v="CF.IA-262(d)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N.CF-20(d)(I)"/>
    <s v="CF-20(d)(I)"/>
    <s v="Bombeo Mecánico"/>
    <s v="NORTE"/>
    <s v="OPERACIONES MENDOZA NORTE"/>
    <s v="MGS Zona I"/>
    <s v="CF- 01"/>
    <s v="Malargue"/>
    <s v="Produciendo"/>
    <x v="2"/>
    <n v="192"/>
    <d v="2020-02-20T00:00:00"/>
    <n v="2.83"/>
    <n v="8.07"/>
    <x v="372"/>
  </r>
  <r>
    <s v="YPF.MdN.CF.IA-267(d)"/>
    <s v="CF.IA-267(d)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N.MDM.a-125"/>
    <s v="MDM.a-125"/>
    <s v="Bombeo Mecánico"/>
    <s v="NORTE"/>
    <s v="OPERACIONES MENDOZA NORTE"/>
    <s v="MGS Zona II"/>
    <s v="MDMO"/>
    <s v="Malargue"/>
    <s v="Produciendo"/>
    <x v="17"/>
    <n v="421"/>
    <d v="2020-03-19T00:00:00"/>
    <n v="0.25"/>
    <n v="3.85"/>
    <x v="373"/>
  </r>
  <r>
    <s v="YPF.MdN.MDM.a-121"/>
    <s v="MDM.a-121"/>
    <s v="Bombeo Mecánico"/>
    <s v="NORTE"/>
    <s v="OPERACIONES MENDOZA NORTE"/>
    <s v="MGS Zona II"/>
    <s v="MDMO"/>
    <s v="Malargue"/>
    <s v="Produciendo"/>
    <x v="17"/>
    <n v="100"/>
    <d v="2020-03-16T00:00:00"/>
    <n v="0.37"/>
    <n v="1.67"/>
    <x v="374"/>
  </r>
  <r>
    <s v="YPF.MdN.CF.IA-260(d)"/>
    <s v="CF.IA-260(d)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N.CF.IA-270(d)"/>
    <s v="CF.IA-270(d)"/>
    <s v="Inyección"/>
    <s v="NORTE"/>
    <s v="OPERACIONES MENDOZA NORTE"/>
    <s v="MGS Zona I"/>
    <s v="CF- 02"/>
    <s v="Malargue"/>
    <s v="Produciendo"/>
    <x v="3"/>
    <n v="0"/>
    <d v="2019-12-27T00:00:00"/>
    <n v="0"/>
    <n v="0"/>
    <x v="4"/>
  </r>
  <r>
    <s v="YPF.MdN.CF.IA-150(d)(I)"/>
    <s v="CF.IA-150(d)(I)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N.CF.IA-261(d)"/>
    <s v="CF.IA-261(d)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N.NLA.x-1"/>
    <s v="NLA.x-1"/>
    <s v="Bombeo Mecánico"/>
    <s v="NORTE"/>
    <s v="OPERACIONES MENDOZA NORTE"/>
    <s v="MGS Zona II"/>
    <s v="LA"/>
    <s v="Malargue"/>
    <s v="Produciendo"/>
    <x v="31"/>
    <n v="1800"/>
    <d v="2020-02-20T00:00:00"/>
    <n v="9.7799999999999994"/>
    <n v="4.9000000000000004"/>
    <x v="375"/>
  </r>
  <r>
    <s v="YPF.MdN.CF.IA-266(d)"/>
    <s v="CF.IA-266(d)"/>
    <s v="Inyección"/>
    <s v="NORTE"/>
    <s v="OPERACIONES MENDOZA NORTE"/>
    <s v="MGS Zona I"/>
    <s v="CF- 01"/>
    <s v="Malargue"/>
    <s v="Produciendo"/>
    <x v="3"/>
    <n v="0"/>
    <d v="2019-12-27T00:00:00"/>
    <n v="0"/>
    <n v="0"/>
    <x v="4"/>
  </r>
  <r>
    <s v="YPF.MdN.MdVO.x-1"/>
    <s v="MdVO.x-1"/>
    <s v="Bombeo Mecánico"/>
    <s v="NORTE"/>
    <s v="OPERACIONES MENDOZA NORTE"/>
    <s v="MGS Zona II"/>
    <s v="MDVO"/>
    <s v="Malargue"/>
    <s v="Produciendo"/>
    <x v="32"/>
    <n v="5200"/>
    <d v="2020-03-16T00:00:00"/>
    <n v="15.52"/>
    <n v="2.78"/>
    <x v="376"/>
  </r>
  <r>
    <s v="YPF.MdN.ALAt-3(d)"/>
    <s v="ALAt-3(d)"/>
    <s v="Electro Sumergible"/>
    <s v="NORTE"/>
    <s v="OPERACIONES MENDOZA NORTE"/>
    <s v="MGS Zona I"/>
    <s v="CF- 03"/>
    <s v="Malargue"/>
    <s v="Produciendo"/>
    <x v="4"/>
    <n v="10"/>
    <d v="2020-01-08T00:00:00"/>
    <n v="67.010000000000005"/>
    <n v="7.0000000000000007E-2"/>
    <x v="377"/>
  </r>
  <r>
    <s v="YPF.MdN.MdVS.x-1"/>
    <s v="MdVS.x-1"/>
    <s v="Bombeo Mecánico"/>
    <s v="NORTE"/>
    <s v="OPERACIONES MENDOZA NORTE"/>
    <s v="MGS Zona II"/>
    <s v="MDVS"/>
    <s v="Malargue"/>
    <s v="Produciendo"/>
    <x v="33"/>
    <n v="120"/>
    <d v="2020-03-16T00:00:00"/>
    <n v="0.27"/>
    <n v="1.42"/>
    <x v="378"/>
  </r>
  <r>
    <s v="YPF.MdN.ALAt-5(d)"/>
    <s v="ALAt-5(d)"/>
    <s v="Electro Sumergible"/>
    <s v="NORTE"/>
    <s v="OPERACIONES MENDOZA NORTE"/>
    <s v="MGS Zona I"/>
    <s v="CF- 03"/>
    <s v="Malargue"/>
    <s v="Produciendo"/>
    <x v="4"/>
    <n v="10"/>
    <d v="2019-07-21T00:00:00"/>
    <n v="102.49"/>
    <n v="0.52"/>
    <x v="379"/>
  </r>
  <r>
    <s v="YPF.MdN.ALAt-7(d)"/>
    <s v="ALAt-7(d)"/>
    <s v="Electro Sumergible"/>
    <s v="NORTE"/>
    <s v="OPERACIONES MENDOZA NORTE"/>
    <s v="MGS Zona I"/>
    <s v="CF- 03"/>
    <s v="Malargue"/>
    <s v="Produciendo"/>
    <x v="4"/>
    <n v="82.99"/>
    <d v="2020-02-28T00:00:00"/>
    <n v="178.81"/>
    <n v="0.18"/>
    <x v="380"/>
  </r>
  <r>
    <s v="YPF.MdN.CF-271(d)"/>
    <s v="CF-271(d)"/>
    <s v="Bombeo Mecánico"/>
    <s v="NORTE"/>
    <s v="OPERACIONES MENDOZA NORTE"/>
    <s v="MGS Zona I"/>
    <s v="CF- 01"/>
    <s v="Malargue"/>
    <s v="Produciendo"/>
    <x v="2"/>
    <n v="10"/>
    <d v="2020-03-12T00:00:00"/>
    <n v="1.49"/>
    <n v="13.21"/>
    <x v="381"/>
  </r>
  <r>
    <s v="YPF.MdN.LL-2098(h)"/>
    <s v="LL-2098(h)"/>
    <s v="Cavidad Progresiva"/>
    <s v="NORTE"/>
    <s v="OPERACIONES MENDOZA NORTE"/>
    <s v="MGN Zona I"/>
    <s v="LLANCANELO"/>
    <s v="Malargue"/>
    <s v="Produciendo"/>
    <x v="27"/>
    <n v="140"/>
    <d v="2020-03-06T00:00:00"/>
    <n v="0.04"/>
    <n v="12.93"/>
    <x v="382"/>
  </r>
  <r>
    <s v="YPF.MdN.LL-2043(h)"/>
    <s v="LL-2043(h)"/>
    <s v="Cavidad Progresiva"/>
    <s v="NORTE"/>
    <s v="OPERACIONES MENDOZA NORTE"/>
    <s v="MGN Zona I"/>
    <s v="LLANCANELO"/>
    <s v="Malargue"/>
    <s v="Produciendo"/>
    <x v="27"/>
    <n v="200"/>
    <d v="2020-03-18T00:00:00"/>
    <n v="0.18"/>
    <n v="34.590000000000003"/>
    <x v="383"/>
  </r>
  <r>
    <s v="YPF.MdN.LL.a-2014(h)"/>
    <s v="LL.a-2014(h)"/>
    <s v="Cavidad Progresiva"/>
    <s v="NORTE"/>
    <s v="OPERACIONES MENDOZA NORTE"/>
    <s v="MGN Zona I"/>
    <s v="LLANCANELO"/>
    <s v="Malargue"/>
    <s v="Produciendo"/>
    <x v="34"/>
    <n v="50"/>
    <d v="2020-03-12T00:00:00"/>
    <n v="0.11"/>
    <n v="22.22"/>
    <x v="384"/>
  </r>
  <r>
    <s v="YPF.MdN.LL.a-2138(h)"/>
    <s v="LL.a-2138(h)"/>
    <s v="Cavidad Progresiva"/>
    <s v="NORTE"/>
    <s v="OPERACIONES MENDOZA NORTE"/>
    <s v="MGN Zona I"/>
    <s v="LLANCANELO"/>
    <s v="Malargue"/>
    <s v="Produciendo"/>
    <x v="22"/>
    <n v="0"/>
    <d v="2020-03-17T00:00:00"/>
    <n v="0.23"/>
    <n v="22.4"/>
    <x v="385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800-000000000000}" name="TablaDinámica1" cacheId="0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>
  <location ref="A3:D39" firstHeaderRow="0" firstDataRow="1" firstDataCol="1"/>
  <pivotFields count="15">
    <pivotField subtotalTop="0" showAll="0"/>
    <pivotField subtotalTop="0" showAll="0"/>
    <pivotField subtotalTop="0" showAll="0"/>
    <pivotField subtotalTop="0" showAll="0"/>
    <pivotField subtotalTop="0" showAll="0"/>
    <pivotField subtotalTop="0" showAll="0"/>
    <pivotField subtotalTop="0" showAll="0"/>
    <pivotField subtotalTop="0" showAll="0"/>
    <pivotField subtotalTop="0" showAll="0"/>
    <pivotField axis="axisRow" subtotalTop="0" showAll="0">
      <items count="36">
        <item x="18"/>
        <item x="0"/>
        <item x="2"/>
        <item x="1"/>
        <item x="4"/>
        <item x="32"/>
        <item x="33"/>
        <item x="28"/>
        <item x="21"/>
        <item x="19"/>
        <item x="8"/>
        <item x="9"/>
        <item x="15"/>
        <item x="25"/>
        <item x="31"/>
        <item x="6"/>
        <item x="7"/>
        <item x="11"/>
        <item x="12"/>
        <item x="20"/>
        <item x="13"/>
        <item x="34"/>
        <item x="23"/>
        <item x="26"/>
        <item x="22"/>
        <item x="27"/>
        <item x="29"/>
        <item x="30"/>
        <item x="10"/>
        <item x="16"/>
        <item x="17"/>
        <item x="14"/>
        <item x="24"/>
        <item x="3"/>
        <item x="5"/>
        <item t="default"/>
      </items>
    </pivotField>
    <pivotField subtotalTop="0" showAll="0"/>
    <pivotField numFmtId="14" subtotalTop="0" showAll="0"/>
    <pivotField dataField="1" subtotalTop="0" showAll="0"/>
    <pivotField dataField="1" subtotalTop="0" showAll="0"/>
    <pivotField dataField="1" subtotalTop="0" showAll="0">
      <items count="387">
        <item x="4"/>
        <item x="249"/>
        <item x="237"/>
        <item x="65"/>
        <item x="67"/>
        <item x="318"/>
        <item x="265"/>
        <item x="250"/>
        <item x="69"/>
        <item x="317"/>
        <item x="283"/>
        <item x="78"/>
        <item x="297"/>
        <item x="82"/>
        <item x="137"/>
        <item x="263"/>
        <item x="74"/>
        <item x="321"/>
        <item x="64"/>
        <item x="26"/>
        <item x="260"/>
        <item x="108"/>
        <item x="14"/>
        <item x="295"/>
        <item x="266"/>
        <item x="133"/>
        <item x="106"/>
        <item x="150"/>
        <item x="211"/>
        <item x="66"/>
        <item x="151"/>
        <item x="251"/>
        <item x="83"/>
        <item x="184"/>
        <item x="37"/>
        <item x="20"/>
        <item x="140"/>
        <item x="378"/>
        <item x="261"/>
        <item x="56"/>
        <item x="330"/>
        <item x="272"/>
        <item x="331"/>
        <item x="68"/>
        <item x="116"/>
        <item x="329"/>
        <item x="127"/>
        <item x="311"/>
        <item x="77"/>
        <item x="374"/>
        <item x="135"/>
        <item x="112"/>
        <item x="86"/>
        <item x="85"/>
        <item x="273"/>
        <item x="9"/>
        <item x="271"/>
        <item x="181"/>
        <item x="124"/>
        <item x="307"/>
        <item x="313"/>
        <item x="134"/>
        <item x="268"/>
        <item x="22"/>
        <item x="129"/>
        <item x="81"/>
        <item x="310"/>
        <item x="107"/>
        <item x="337"/>
        <item x="336"/>
        <item x="47"/>
        <item x="102"/>
        <item x="279"/>
        <item x="70"/>
        <item x="164"/>
        <item x="75"/>
        <item x="189"/>
        <item x="87"/>
        <item x="334"/>
        <item x="90"/>
        <item x="267"/>
        <item x="349"/>
        <item x="277"/>
        <item x="182"/>
        <item x="345"/>
        <item x="115"/>
        <item x="338"/>
        <item x="269"/>
        <item x="76"/>
        <item x="187"/>
        <item x="343"/>
        <item x="12"/>
        <item x="322"/>
        <item x="373"/>
        <item x="88"/>
        <item x="245"/>
        <item x="51"/>
        <item x="136"/>
        <item x="296"/>
        <item x="262"/>
        <item x="118"/>
        <item x="332"/>
        <item x="306"/>
        <item x="122"/>
        <item x="308"/>
        <item x="103"/>
        <item x="119"/>
        <item x="138"/>
        <item x="242"/>
        <item x="59"/>
        <item x="31"/>
        <item x="314"/>
        <item x="208"/>
        <item x="320"/>
        <item x="294"/>
        <item x="1"/>
        <item x="216"/>
        <item x="194"/>
        <item x="299"/>
        <item x="49"/>
        <item x="333"/>
        <item x="235"/>
        <item x="350"/>
        <item x="202"/>
        <item x="180"/>
        <item x="258"/>
        <item x="220"/>
        <item x="11"/>
        <item x="17"/>
        <item x="222"/>
        <item x="130"/>
        <item x="351"/>
        <item x="219"/>
        <item x="301"/>
        <item x="8"/>
        <item x="344"/>
        <item x="324"/>
        <item x="346"/>
        <item x="252"/>
        <item x="369"/>
        <item x="214"/>
        <item x="290"/>
        <item x="61"/>
        <item x="239"/>
        <item x="80"/>
        <item x="348"/>
        <item x="18"/>
        <item x="275"/>
        <item x="315"/>
        <item x="204"/>
        <item x="114"/>
        <item x="247"/>
        <item x="73"/>
        <item x="27"/>
        <item x="32"/>
        <item x="298"/>
        <item x="23"/>
        <item x="25"/>
        <item x="228"/>
        <item x="54"/>
        <item x="323"/>
        <item x="352"/>
        <item x="254"/>
        <item x="152"/>
        <item x="111"/>
        <item x="229"/>
        <item x="95"/>
        <item x="126"/>
        <item x="125"/>
        <item x="145"/>
        <item x="232"/>
        <item x="312"/>
        <item x="293"/>
        <item x="302"/>
        <item x="335"/>
        <item x="28"/>
        <item x="248"/>
        <item x="84"/>
        <item x="104"/>
        <item x="226"/>
        <item x="5"/>
        <item x="305"/>
        <item x="362"/>
        <item x="316"/>
        <item x="79"/>
        <item x="0"/>
        <item x="50"/>
        <item x="364"/>
        <item x="185"/>
        <item x="159"/>
        <item x="370"/>
        <item x="300"/>
        <item x="372"/>
        <item x="13"/>
        <item x="55"/>
        <item x="131"/>
        <item x="288"/>
        <item x="60"/>
        <item x="212"/>
        <item x="132"/>
        <item x="144"/>
        <item x="92"/>
        <item x="292"/>
        <item x="188"/>
        <item x="224"/>
        <item x="382"/>
        <item x="291"/>
        <item x="371"/>
        <item x="363"/>
        <item x="200"/>
        <item x="139"/>
        <item x="231"/>
        <item x="148"/>
        <item x="48"/>
        <item x="213"/>
        <item x="30"/>
        <item x="227"/>
        <item x="117"/>
        <item x="340"/>
        <item x="58"/>
        <item x="6"/>
        <item x="175"/>
        <item x="375"/>
        <item x="381"/>
        <item x="183"/>
        <item x="355"/>
        <item x="238"/>
        <item x="143"/>
        <item x="360"/>
        <item x="347"/>
        <item x="24"/>
        <item x="357"/>
        <item x="246"/>
        <item x="304"/>
        <item x="325"/>
        <item x="156"/>
        <item x="89"/>
        <item x="218"/>
        <item x="7"/>
        <item x="289"/>
        <item x="113"/>
        <item x="91"/>
        <item x="168"/>
        <item x="10"/>
        <item x="376"/>
        <item x="195"/>
        <item x="215"/>
        <item x="366"/>
        <item x="141"/>
        <item x="281"/>
        <item x="284"/>
        <item x="41"/>
        <item x="3"/>
        <item x="193"/>
        <item x="98"/>
        <item x="147"/>
        <item x="186"/>
        <item x="72"/>
        <item x="384"/>
        <item x="385"/>
        <item x="253"/>
        <item x="287"/>
        <item x="256"/>
        <item x="110"/>
        <item x="241"/>
        <item x="179"/>
        <item x="109"/>
        <item x="120"/>
        <item x="142"/>
        <item x="121"/>
        <item x="155"/>
        <item x="167"/>
        <item x="40"/>
        <item x="94"/>
        <item x="326"/>
        <item x="176"/>
        <item x="63"/>
        <item x="359"/>
        <item x="341"/>
        <item x="303"/>
        <item x="160"/>
        <item x="29"/>
        <item x="244"/>
        <item x="233"/>
        <item x="16"/>
        <item x="280"/>
        <item x="264"/>
        <item x="309"/>
        <item x="34"/>
        <item x="210"/>
        <item x="236"/>
        <item x="328"/>
        <item x="383"/>
        <item x="154"/>
        <item x="2"/>
        <item x="57"/>
        <item x="161"/>
        <item x="153"/>
        <item x="217"/>
        <item x="177"/>
        <item x="15"/>
        <item x="97"/>
        <item x="278"/>
        <item x="358"/>
        <item x="206"/>
        <item x="100"/>
        <item x="274"/>
        <item x="42"/>
        <item x="178"/>
        <item x="240"/>
        <item x="353"/>
        <item x="225"/>
        <item x="339"/>
        <item x="101"/>
        <item x="205"/>
        <item x="174"/>
        <item x="52"/>
        <item x="53"/>
        <item x="319"/>
        <item x="255"/>
        <item x="149"/>
        <item x="19"/>
        <item x="342"/>
        <item x="365"/>
        <item x="146"/>
        <item x="170"/>
        <item x="285"/>
        <item x="354"/>
        <item x="356"/>
        <item x="35"/>
        <item x="38"/>
        <item x="207"/>
        <item x="243"/>
        <item x="367"/>
        <item x="99"/>
        <item x="71"/>
        <item x="105"/>
        <item x="171"/>
        <item x="230"/>
        <item x="201"/>
        <item x="172"/>
        <item x="43"/>
        <item x="377"/>
        <item x="190"/>
        <item x="96"/>
        <item x="128"/>
        <item x="361"/>
        <item x="191"/>
        <item x="157"/>
        <item x="46"/>
        <item x="259"/>
        <item x="45"/>
        <item x="221"/>
        <item x="286"/>
        <item x="199"/>
        <item x="165"/>
        <item x="192"/>
        <item x="223"/>
        <item x="257"/>
        <item x="282"/>
        <item x="197"/>
        <item x="368"/>
        <item x="234"/>
        <item x="158"/>
        <item x="21"/>
        <item x="379"/>
        <item x="270"/>
        <item x="62"/>
        <item x="36"/>
        <item x="203"/>
        <item x="327"/>
        <item x="39"/>
        <item x="198"/>
        <item x="163"/>
        <item x="44"/>
        <item x="33"/>
        <item x="276"/>
        <item x="166"/>
        <item x="380"/>
        <item x="173"/>
        <item x="93"/>
        <item x="196"/>
        <item x="169"/>
        <item x="123"/>
        <item x="162"/>
        <item x="209"/>
        <item t="default"/>
      </items>
    </pivotField>
  </pivotFields>
  <rowFields count="1">
    <field x="9"/>
  </rowFields>
  <rowItems count="3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a de Bruta" fld="14" baseField="0" baseItem="0"/>
    <dataField name="Suma de Petroleo" fld="13" baseField="0" baseItem="0"/>
    <dataField name="Suma de Agua" fld="1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M81"/>
  <sheetViews>
    <sheetView showGridLines="0" tabSelected="1" topLeftCell="A30" zoomScaleNormal="100" workbookViewId="0">
      <selection activeCell="J34" sqref="J34:M34"/>
    </sheetView>
  </sheetViews>
  <sheetFormatPr baseColWidth="10" defaultRowHeight="15"/>
  <cols>
    <col min="1" max="1" width="21.28515625" bestFit="1" customWidth="1"/>
    <col min="2" max="2" width="23.5703125" customWidth="1"/>
    <col min="3" max="3" width="21" customWidth="1"/>
    <col min="4" max="4" width="15.28515625" customWidth="1"/>
    <col min="6" max="6" width="13.140625" customWidth="1"/>
  </cols>
  <sheetData>
    <row r="1" spans="1:13" ht="15.75" thickBot="1">
      <c r="A1" s="160" t="s">
        <v>1341</v>
      </c>
      <c r="B1" s="161"/>
      <c r="C1" s="161"/>
      <c r="D1" s="161"/>
      <c r="E1" s="161"/>
      <c r="F1" s="161"/>
      <c r="G1" s="161"/>
      <c r="H1" s="161"/>
      <c r="I1" s="161"/>
      <c r="J1" s="161"/>
      <c r="K1" s="161"/>
      <c r="L1" s="161"/>
      <c r="M1" s="162"/>
    </row>
    <row r="2" spans="1:13" ht="15.75" thickBot="1">
      <c r="A2" s="102"/>
      <c r="B2" s="103"/>
      <c r="C2" s="103"/>
      <c r="D2" s="103"/>
      <c r="E2" s="103"/>
      <c r="F2" s="103"/>
      <c r="G2" s="103"/>
      <c r="H2" s="103"/>
      <c r="I2" s="103"/>
      <c r="J2" s="103"/>
      <c r="K2" s="103"/>
      <c r="L2" s="103"/>
      <c r="M2" s="104"/>
    </row>
    <row r="3" spans="1:13" ht="15" customHeight="1">
      <c r="A3" s="102"/>
      <c r="B3" s="103"/>
      <c r="C3" s="103"/>
      <c r="D3" s="178" t="s">
        <v>1288</v>
      </c>
      <c r="E3" s="179"/>
      <c r="F3" s="186" t="s">
        <v>1287</v>
      </c>
      <c r="G3" s="187"/>
      <c r="H3" s="203" t="s">
        <v>1353</v>
      </c>
      <c r="I3" s="178" t="s">
        <v>1352</v>
      </c>
      <c r="J3" s="198"/>
      <c r="L3" s="103"/>
      <c r="M3" s="104"/>
    </row>
    <row r="4" spans="1:13" ht="15" customHeight="1">
      <c r="A4" s="102"/>
      <c r="B4" s="103"/>
      <c r="C4" s="105"/>
      <c r="D4" s="180"/>
      <c r="E4" s="181"/>
      <c r="F4" s="188"/>
      <c r="G4" s="189"/>
      <c r="H4" s="204"/>
      <c r="I4" s="199"/>
      <c r="J4" s="200"/>
      <c r="L4" s="103"/>
      <c r="M4" s="104"/>
    </row>
    <row r="5" spans="1:13" ht="15.75" thickBot="1">
      <c r="A5" s="102"/>
      <c r="B5" s="103"/>
      <c r="C5" s="103"/>
      <c r="D5" s="135">
        <v>43770</v>
      </c>
      <c r="E5" s="136">
        <v>43800</v>
      </c>
      <c r="F5" s="190"/>
      <c r="G5" s="191"/>
      <c r="H5" s="204"/>
      <c r="I5" s="201"/>
      <c r="J5" s="202"/>
      <c r="L5" s="103"/>
      <c r="M5" s="104"/>
    </row>
    <row r="6" spans="1:13">
      <c r="A6" s="102"/>
      <c r="B6" s="103"/>
      <c r="C6" s="120" t="s">
        <v>1286</v>
      </c>
      <c r="D6" s="133">
        <f>EstimaciónYPF!D38</f>
        <v>397948</v>
      </c>
      <c r="E6" s="134">
        <f>EstimaciónYPF!B38</f>
        <v>473820</v>
      </c>
      <c r="F6" s="192">
        <f>Análisis!D35</f>
        <v>399363.94511047425</v>
      </c>
      <c r="G6" s="193"/>
      <c r="H6" s="144">
        <f>AVERAGE(D6:G6)</f>
        <v>423710.6483701581</v>
      </c>
      <c r="I6" s="205">
        <f>F6/F7</f>
        <v>4.3476533187547917</v>
      </c>
      <c r="J6" s="206"/>
      <c r="L6" s="103"/>
      <c r="M6" s="104"/>
    </row>
    <row r="7" spans="1:13" ht="15.75" thickBot="1">
      <c r="A7" s="102"/>
      <c r="B7" s="103"/>
      <c r="C7" s="145" t="s">
        <v>1289</v>
      </c>
      <c r="D7" s="146" t="s">
        <v>1335</v>
      </c>
      <c r="E7" s="147" t="s">
        <v>1335</v>
      </c>
      <c r="F7" s="194">
        <f>Análisis!C35</f>
        <v>91857.357482416701</v>
      </c>
      <c r="G7" s="195"/>
      <c r="H7" s="148">
        <f>F7</f>
        <v>91857.357482416701</v>
      </c>
      <c r="I7" s="207"/>
      <c r="J7" s="208"/>
      <c r="L7" s="103"/>
      <c r="M7" s="104"/>
    </row>
    <row r="8" spans="1:13" ht="15.75" thickBot="1">
      <c r="A8" s="106"/>
      <c r="B8" s="107"/>
      <c r="C8" s="107"/>
      <c r="D8" s="107"/>
      <c r="E8" s="107"/>
      <c r="F8" s="107"/>
      <c r="G8" s="107"/>
      <c r="H8" s="107"/>
      <c r="I8" s="107"/>
      <c r="J8" s="107"/>
      <c r="K8" s="107"/>
      <c r="L8" s="107"/>
      <c r="M8" s="108"/>
    </row>
    <row r="9" spans="1:13" ht="15.75" thickBot="1">
      <c r="A9" s="160" t="s">
        <v>1342</v>
      </c>
      <c r="B9" s="161"/>
      <c r="C9" s="161"/>
      <c r="D9" s="161"/>
      <c r="E9" s="161"/>
      <c r="F9" s="161"/>
      <c r="G9" s="161"/>
      <c r="H9" s="161"/>
      <c r="I9" s="161"/>
      <c r="J9" s="161"/>
      <c r="K9" s="161"/>
      <c r="L9" s="161"/>
      <c r="M9" s="162"/>
    </row>
    <row r="10" spans="1:13" ht="4.5" customHeight="1" thickBot="1">
      <c r="A10" s="102"/>
      <c r="B10" s="103"/>
      <c r="C10" s="103"/>
      <c r="D10" s="103"/>
      <c r="E10" s="103"/>
      <c r="F10" s="103"/>
      <c r="G10" s="103"/>
      <c r="H10" s="103"/>
      <c r="I10" s="103"/>
      <c r="J10" s="103"/>
      <c r="K10" s="103"/>
      <c r="L10" s="103"/>
      <c r="M10" s="104"/>
    </row>
    <row r="11" spans="1:13">
      <c r="A11" s="182" t="s">
        <v>1333</v>
      </c>
      <c r="B11" s="184" t="s">
        <v>1332</v>
      </c>
      <c r="C11" s="196" t="s">
        <v>1351</v>
      </c>
      <c r="D11" s="197"/>
      <c r="E11" s="103"/>
      <c r="F11" s="103"/>
      <c r="G11" s="103"/>
      <c r="H11" s="103"/>
      <c r="I11" s="103"/>
      <c r="J11" s="103"/>
      <c r="K11" s="103"/>
      <c r="L11" s="103"/>
      <c r="M11" s="104"/>
    </row>
    <row r="12" spans="1:13">
      <c r="A12" s="183"/>
      <c r="B12" s="185"/>
      <c r="C12" s="121" t="s">
        <v>1264</v>
      </c>
      <c r="D12" s="140" t="s">
        <v>1334</v>
      </c>
      <c r="E12" s="103"/>
      <c r="F12" s="103"/>
      <c r="G12" s="103"/>
      <c r="H12" s="103"/>
      <c r="I12" s="103"/>
      <c r="J12" s="103"/>
      <c r="K12" s="103"/>
      <c r="L12" s="103"/>
      <c r="M12" s="104"/>
    </row>
    <row r="13" spans="1:13">
      <c r="A13" s="109" t="s">
        <v>1324</v>
      </c>
      <c r="B13" s="66">
        <f>COUNTIF(Tratamientos!$V$3:$V$259,'Mercado YPF'!A13)</f>
        <v>27</v>
      </c>
      <c r="C13" s="58">
        <f>SUMIFS(Tratamientos!$S$3:$S$259,Tratamientos!$V$3:$V$259,'Mercado YPF'!A13)</f>
        <v>56934.300471812479</v>
      </c>
      <c r="D13" s="141">
        <f>C13/SUM($C$13:$C$19)</f>
        <v>0.14256244503009158</v>
      </c>
      <c r="E13" s="105"/>
      <c r="F13" s="103"/>
      <c r="G13" s="103"/>
      <c r="H13" s="103"/>
      <c r="I13" s="103"/>
      <c r="J13" s="103"/>
      <c r="K13" s="103"/>
      <c r="L13" s="103"/>
      <c r="M13" s="104"/>
    </row>
    <row r="14" spans="1:13">
      <c r="A14" s="109" t="s">
        <v>1325</v>
      </c>
      <c r="B14" s="66">
        <f>COUNTIF(Tratamientos!$V$3:$V$259,'Mercado YPF'!A14)</f>
        <v>42</v>
      </c>
      <c r="C14" s="58">
        <f>SUMIFS(Tratamientos!$S$3:$S$259,Tratamientos!$V$3:$V$259,'Mercado YPF'!A14)</f>
        <v>90345.681307749997</v>
      </c>
      <c r="D14" s="141">
        <f t="shared" ref="D14:D19" si="0">C14/SUM($C$13:$C$19)</f>
        <v>0.2262239303619612</v>
      </c>
      <c r="E14" s="105"/>
      <c r="F14" s="103"/>
      <c r="G14" s="103"/>
      <c r="H14" s="103"/>
      <c r="I14" s="103"/>
      <c r="J14" s="103"/>
      <c r="K14" s="103"/>
      <c r="L14" s="103"/>
      <c r="M14" s="104"/>
    </row>
    <row r="15" spans="1:13">
      <c r="A15" s="109" t="s">
        <v>1326</v>
      </c>
      <c r="B15" s="66">
        <f>COUNTIF(Tratamientos!$V$3:$V$259,'Mercado YPF'!A15)</f>
        <v>19</v>
      </c>
      <c r="C15" s="58">
        <f>SUMIFS(Tratamientos!$S$3:$S$259,Tratamientos!$V$3:$V$259,'Mercado YPF'!A15)</f>
        <v>133295.11014</v>
      </c>
      <c r="D15" s="141">
        <f t="shared" si="0"/>
        <v>0.33376851308679661</v>
      </c>
      <c r="E15" s="103"/>
      <c r="F15" s="103"/>
      <c r="G15" s="103"/>
      <c r="H15" s="103"/>
      <c r="I15" s="103"/>
      <c r="J15" s="103"/>
      <c r="K15" s="103"/>
      <c r="L15" s="103"/>
      <c r="M15" s="104"/>
    </row>
    <row r="16" spans="1:13">
      <c r="A16" s="109" t="s">
        <v>1330</v>
      </c>
      <c r="B16" s="66">
        <f>COUNTIF(Tratamientos!$V$3:$V$259,'Mercado YPF'!A16)</f>
        <v>149</v>
      </c>
      <c r="C16" s="58">
        <f>SUMIFS(Tratamientos!$S$3:$S$259,Tratamientos!$V$3:$V$259,'Mercado YPF'!A16)</f>
        <v>71021.365723166644</v>
      </c>
      <c r="D16" s="141">
        <f t="shared" si="0"/>
        <v>0.17783619826652189</v>
      </c>
      <c r="E16" s="103"/>
      <c r="F16" s="103"/>
      <c r="G16" s="103"/>
      <c r="H16" s="103"/>
      <c r="I16" s="103"/>
      <c r="J16" s="103"/>
      <c r="K16" s="103"/>
      <c r="L16" s="103"/>
      <c r="M16" s="104"/>
    </row>
    <row r="17" spans="1:13">
      <c r="A17" s="109" t="s">
        <v>1327</v>
      </c>
      <c r="B17" s="66">
        <f>COUNTIF(Tratamientos!$V$3:$V$259,'Mercado YPF'!A17)</f>
        <v>3</v>
      </c>
      <c r="C17" s="58">
        <f>SUMIFS(Tratamientos!$S$3:$S$259,Tratamientos!$V$3:$V$259,'Mercado YPF'!A17)</f>
        <v>8263.1293521199987</v>
      </c>
      <c r="D17" s="141">
        <f t="shared" si="0"/>
        <v>2.0690724471469774E-2</v>
      </c>
      <c r="E17" s="103"/>
      <c r="F17" s="103"/>
      <c r="G17" s="103"/>
      <c r="H17" s="103"/>
      <c r="I17" s="103"/>
      <c r="J17" s="103"/>
      <c r="K17" s="103"/>
      <c r="L17" s="103"/>
      <c r="M17" s="104"/>
    </row>
    <row r="18" spans="1:13">
      <c r="A18" s="109" t="s">
        <v>1328</v>
      </c>
      <c r="B18" s="66">
        <f>COUNTIF(Tratamientos!$V$3:$V$259,'Mercado YPF'!A18)</f>
        <v>8</v>
      </c>
      <c r="C18" s="58">
        <f>SUMIFS(Tratamientos!$S$3:$S$259,Tratamientos!$V$3:$V$259,'Mercado YPF'!A18)</f>
        <v>30128.812666750004</v>
      </c>
      <c r="D18" s="141">
        <f t="shared" si="0"/>
        <v>7.5441994791031058E-2</v>
      </c>
      <c r="E18" s="103"/>
      <c r="F18" s="103"/>
      <c r="G18" s="103"/>
      <c r="H18" s="103"/>
      <c r="I18" s="103"/>
      <c r="J18" s="103"/>
      <c r="K18" s="103"/>
      <c r="L18" s="103"/>
      <c r="M18" s="104"/>
    </row>
    <row r="19" spans="1:13" ht="15.75" thickBot="1">
      <c r="A19" s="138" t="s">
        <v>1329</v>
      </c>
      <c r="B19" s="139">
        <f>COUNTIF(Tratamientos!$V$3:$V$259,'Mercado YPF'!A19)</f>
        <v>9</v>
      </c>
      <c r="C19" s="111">
        <f>SUMIFS(Tratamientos!$S$3:$S$259,Tratamientos!$V$3:$V$259,'Mercado YPF'!A19)</f>
        <v>9375.545448875002</v>
      </c>
      <c r="D19" s="142">
        <f t="shared" si="0"/>
        <v>2.3476193992127883E-2</v>
      </c>
      <c r="E19" s="103"/>
      <c r="F19" s="103"/>
      <c r="G19" s="103"/>
      <c r="H19" s="103"/>
      <c r="I19" s="103"/>
      <c r="J19" s="103"/>
      <c r="K19" s="103"/>
      <c r="L19" s="103"/>
      <c r="M19" s="104"/>
    </row>
    <row r="20" spans="1:13" ht="3.75" customHeight="1" thickBot="1">
      <c r="A20" s="102"/>
      <c r="B20" s="103"/>
      <c r="C20" s="103"/>
      <c r="D20" s="103"/>
      <c r="E20" s="103"/>
      <c r="F20" s="103"/>
      <c r="G20" s="103"/>
      <c r="H20" s="103"/>
      <c r="I20" s="103"/>
      <c r="J20" s="103"/>
      <c r="K20" s="103"/>
      <c r="L20" s="103"/>
      <c r="M20" s="104"/>
    </row>
    <row r="21" spans="1:13">
      <c r="A21" s="157" t="s">
        <v>1345</v>
      </c>
      <c r="B21" s="158"/>
      <c r="C21" s="158"/>
      <c r="D21" s="159"/>
      <c r="E21" s="103"/>
      <c r="F21" s="103"/>
      <c r="G21" s="103"/>
      <c r="H21" s="103"/>
      <c r="I21" s="103"/>
      <c r="J21" s="103"/>
      <c r="K21" s="103"/>
      <c r="L21" s="103"/>
      <c r="M21" s="104"/>
    </row>
    <row r="22" spans="1:13">
      <c r="A22" s="154" t="s">
        <v>1324</v>
      </c>
      <c r="B22" s="155"/>
      <c r="C22" s="155"/>
      <c r="D22" s="156"/>
      <c r="E22" s="103"/>
      <c r="F22" s="103"/>
      <c r="G22" s="103"/>
      <c r="H22" s="103"/>
      <c r="I22" s="103"/>
      <c r="J22" s="103"/>
      <c r="K22" s="103"/>
      <c r="L22" s="103"/>
      <c r="M22" s="104"/>
    </row>
    <row r="23" spans="1:13" ht="39" customHeight="1">
      <c r="A23" s="122" t="str">
        <f>Análisis!T94</f>
        <v>Familia</v>
      </c>
      <c r="B23" s="123" t="str">
        <f>Análisis!U94</f>
        <v>Puntos</v>
      </c>
      <c r="C23" s="123" t="str">
        <f>Análisis!V94</f>
        <v>Ingreso [USD/mes]</v>
      </c>
      <c r="D23" s="137" t="s">
        <v>1343</v>
      </c>
      <c r="E23" s="103"/>
      <c r="F23" s="103"/>
      <c r="G23" s="103"/>
      <c r="H23" s="103"/>
      <c r="I23" s="103"/>
      <c r="J23" s="103"/>
      <c r="K23" s="103"/>
      <c r="L23" s="103"/>
      <c r="M23" s="104"/>
    </row>
    <row r="24" spans="1:13">
      <c r="A24" s="109" t="str">
        <f>Análisis!T95</f>
        <v>DP</v>
      </c>
      <c r="B24" s="66">
        <f>Análisis!U95</f>
        <v>3</v>
      </c>
      <c r="C24" s="58">
        <f>Análisis!V95</f>
        <v>17971.862700000001</v>
      </c>
      <c r="D24" s="110">
        <f>IFERROR(VLOOKUP(C24,Análisis!$E$94:$H$109,4,0)/200,"")</f>
        <v>20.515825</v>
      </c>
      <c r="E24" s="103"/>
      <c r="F24" s="103"/>
      <c r="G24" s="103"/>
      <c r="H24" s="103"/>
      <c r="I24" s="103"/>
      <c r="J24" s="103"/>
      <c r="K24" s="103"/>
      <c r="L24" s="103"/>
      <c r="M24" s="104"/>
    </row>
    <row r="25" spans="1:13">
      <c r="A25" s="109" t="str">
        <f>Análisis!T96</f>
        <v>RF</v>
      </c>
      <c r="B25" s="66">
        <f>Análisis!U96</f>
        <v>2</v>
      </c>
      <c r="C25" s="58">
        <f>Análisis!V96</f>
        <v>13895.8</v>
      </c>
      <c r="D25" s="110">
        <f>IFERROR(VLOOKUP(C25,Análisis!$E$94:$H$109,4,0)/200,"")</f>
        <v>16.347999999999999</v>
      </c>
      <c r="E25" s="103"/>
      <c r="F25" s="103"/>
      <c r="G25" s="103"/>
      <c r="H25" s="103"/>
      <c r="I25" s="103"/>
      <c r="J25" s="103"/>
      <c r="K25" s="103"/>
      <c r="L25" s="103"/>
      <c r="M25" s="104"/>
    </row>
    <row r="26" spans="1:13">
      <c r="A26" s="109" t="str">
        <f>Análisis!T97</f>
        <v>IP</v>
      </c>
      <c r="B26" s="66">
        <f>Análisis!U97</f>
        <v>1</v>
      </c>
      <c r="C26" s="58">
        <f>Análisis!V97</f>
        <v>8942.3559999999998</v>
      </c>
      <c r="D26" s="110">
        <f>IFERROR(VLOOKUP(C26,Análisis!$E$94:$H$109,4,0)/200,"")</f>
        <v>8.1739999999999995</v>
      </c>
      <c r="E26" s="103"/>
      <c r="F26" s="103"/>
      <c r="G26" s="103"/>
      <c r="H26" s="103"/>
      <c r="I26" s="103"/>
      <c r="J26" s="103"/>
      <c r="K26" s="103"/>
      <c r="L26" s="103"/>
      <c r="M26" s="104"/>
    </row>
    <row r="27" spans="1:13">
      <c r="A27" s="109" t="str">
        <f>Análisis!T98</f>
        <v>DB</v>
      </c>
      <c r="B27" s="66">
        <f>Análisis!U98</f>
        <v>15</v>
      </c>
      <c r="C27" s="58">
        <f>Análisis!V98</f>
        <v>7913.4941579250008</v>
      </c>
      <c r="D27" s="110">
        <f>IFERROR(VLOOKUP(C27,Análisis!$E$94:$H$109,4,0)/200,"")</f>
        <v>10.825672897500004</v>
      </c>
      <c r="E27" s="103"/>
      <c r="F27" s="103"/>
      <c r="G27" s="103"/>
      <c r="H27" s="103"/>
      <c r="I27" s="103"/>
      <c r="J27" s="103"/>
      <c r="K27" s="103"/>
      <c r="L27" s="103"/>
      <c r="M27" s="104"/>
    </row>
    <row r="28" spans="1:13">
      <c r="A28" s="109" t="str">
        <f>Análisis!T99</f>
        <v>AB</v>
      </c>
      <c r="B28" s="66">
        <f>Análisis!U99</f>
        <v>3</v>
      </c>
      <c r="C28" s="58">
        <f>Análisis!V99</f>
        <v>7390.3089049999999</v>
      </c>
      <c r="D28" s="110">
        <f>IFERROR(VLOOKUP(C28,Análisis!$E$94:$H$109,4,0)/200,"")</f>
        <v>14.780617809999999</v>
      </c>
      <c r="E28" s="103"/>
      <c r="F28" s="103"/>
      <c r="G28" s="103"/>
      <c r="H28" s="103"/>
      <c r="I28" s="103"/>
      <c r="J28" s="103"/>
      <c r="K28" s="103"/>
      <c r="L28" s="103"/>
      <c r="M28" s="104"/>
    </row>
    <row r="29" spans="1:13">
      <c r="A29" s="109" t="str">
        <f>Análisis!T100</f>
        <v>HS</v>
      </c>
      <c r="B29" s="66">
        <f>Análisis!U100</f>
        <v>1</v>
      </c>
      <c r="C29" s="58">
        <f>Análisis!V100</f>
        <v>654.72023688750005</v>
      </c>
      <c r="D29" s="110">
        <f>IFERROR(VLOOKUP(C29,Análisis!$E$94:$H$109,4,0)/200,"")</f>
        <v>0.74231319374999993</v>
      </c>
      <c r="E29" s="103"/>
      <c r="F29" s="103"/>
      <c r="G29" s="103"/>
      <c r="H29" s="103"/>
      <c r="I29" s="103"/>
      <c r="J29" s="103"/>
      <c r="K29" s="103"/>
      <c r="L29" s="103"/>
      <c r="M29" s="104"/>
    </row>
    <row r="30" spans="1:13" ht="15.75" thickBot="1">
      <c r="A30" s="138" t="str">
        <f>Análisis!T101</f>
        <v>IC</v>
      </c>
      <c r="B30" s="139">
        <f>Análisis!U101</f>
        <v>2</v>
      </c>
      <c r="C30" s="111">
        <f>Análisis!V101</f>
        <v>165.75847200000004</v>
      </c>
      <c r="D30" s="112">
        <f>IFERROR(VLOOKUP(C30,Análisis!$E$94:$H$109,4,0)/200,"")</f>
        <v>0.37844400000000006</v>
      </c>
      <c r="E30" s="103"/>
      <c r="F30" s="103"/>
      <c r="G30" s="103"/>
      <c r="H30" s="103"/>
      <c r="I30" s="103"/>
      <c r="J30" s="103"/>
      <c r="K30" s="103"/>
      <c r="L30" s="103"/>
      <c r="M30" s="104"/>
    </row>
    <row r="31" spans="1:13" ht="7.5" customHeight="1" thickBot="1">
      <c r="A31" s="106" t="str">
        <f>Análisis!T102</f>
        <v/>
      </c>
      <c r="B31" s="107"/>
      <c r="C31" s="107"/>
      <c r="D31" s="107"/>
      <c r="E31" s="107"/>
      <c r="F31" s="107"/>
      <c r="G31" s="107"/>
      <c r="H31" s="107"/>
      <c r="I31" s="107"/>
      <c r="J31" s="107"/>
      <c r="K31" s="107"/>
      <c r="L31" s="107"/>
      <c r="M31" s="108"/>
    </row>
    <row r="32" spans="1:13">
      <c r="A32" s="163" t="s">
        <v>1346</v>
      </c>
      <c r="B32" s="164"/>
      <c r="C32" s="164"/>
      <c r="D32" s="164"/>
      <c r="E32" s="164"/>
      <c r="F32" s="164"/>
      <c r="G32" s="164"/>
      <c r="H32" s="164"/>
      <c r="I32" s="164"/>
      <c r="J32" s="164"/>
      <c r="K32" s="164"/>
      <c r="L32" s="164"/>
      <c r="M32" s="165"/>
    </row>
    <row r="33" spans="1:13" s="130" customFormat="1" ht="5.25" customHeight="1">
      <c r="A33" s="125"/>
      <c r="B33" s="126"/>
      <c r="C33" s="126"/>
      <c r="D33" s="126"/>
      <c r="E33" s="126"/>
      <c r="F33" s="126"/>
      <c r="G33" s="126"/>
      <c r="H33" s="126"/>
      <c r="I33" s="126"/>
      <c r="J33" s="126"/>
      <c r="K33" s="126"/>
      <c r="L33" s="126"/>
      <c r="M33" s="127"/>
    </row>
    <row r="34" spans="1:13" s="128" customFormat="1">
      <c r="A34" s="169" t="s">
        <v>1349</v>
      </c>
      <c r="B34" s="170"/>
      <c r="C34" s="176" t="s">
        <v>1350</v>
      </c>
      <c r="D34" s="176"/>
      <c r="E34" s="177"/>
      <c r="F34" s="174" t="s">
        <v>1349</v>
      </c>
      <c r="G34" s="174"/>
      <c r="H34" s="174"/>
      <c r="I34" s="175"/>
      <c r="J34" s="171" t="s">
        <v>1387</v>
      </c>
      <c r="K34" s="172"/>
      <c r="L34" s="172"/>
      <c r="M34" s="173"/>
    </row>
    <row r="35" spans="1:13">
      <c r="A35" s="125"/>
      <c r="B35" s="126"/>
      <c r="C35" s="126"/>
      <c r="D35" s="126"/>
      <c r="E35" s="129"/>
      <c r="F35" s="126"/>
      <c r="G35" s="126"/>
      <c r="H35" s="126"/>
      <c r="I35" s="126"/>
      <c r="J35" s="126"/>
      <c r="K35" s="126"/>
      <c r="L35" s="126"/>
      <c r="M35" s="127"/>
    </row>
    <row r="36" spans="1:13">
      <c r="A36" s="102"/>
      <c r="B36" s="103"/>
      <c r="C36" s="103"/>
      <c r="D36" s="103"/>
      <c r="E36" s="96"/>
      <c r="F36" s="103"/>
      <c r="G36" s="103"/>
      <c r="H36" s="103"/>
      <c r="I36" s="103"/>
      <c r="J36" s="103"/>
      <c r="K36" s="103"/>
      <c r="L36" s="103"/>
      <c r="M36" s="104"/>
    </row>
    <row r="37" spans="1:13">
      <c r="A37" s="102"/>
      <c r="B37" s="103"/>
      <c r="C37" s="103"/>
      <c r="D37" s="103"/>
      <c r="E37" s="96"/>
      <c r="F37" s="103"/>
      <c r="G37" s="103"/>
      <c r="H37" s="103"/>
      <c r="I37" s="103"/>
      <c r="J37" s="103"/>
      <c r="K37" s="103"/>
      <c r="L37" s="103"/>
      <c r="M37" s="104"/>
    </row>
    <row r="38" spans="1:13">
      <c r="A38" s="102"/>
      <c r="B38" s="103"/>
      <c r="C38" s="103"/>
      <c r="D38" s="103"/>
      <c r="E38" s="96"/>
      <c r="F38" s="103"/>
      <c r="G38" s="103"/>
      <c r="H38" s="103"/>
      <c r="I38" s="103"/>
      <c r="J38" s="103"/>
      <c r="K38" s="103"/>
      <c r="L38" s="103"/>
      <c r="M38" s="104"/>
    </row>
    <row r="39" spans="1:13">
      <c r="A39" s="102"/>
      <c r="B39" s="103"/>
      <c r="C39" s="103"/>
      <c r="D39" s="103"/>
      <c r="E39" s="96"/>
      <c r="F39" s="103"/>
      <c r="G39" s="103"/>
      <c r="H39" s="103"/>
      <c r="I39" s="103"/>
      <c r="J39" s="103"/>
      <c r="K39" s="103"/>
      <c r="L39" s="103"/>
      <c r="M39" s="104"/>
    </row>
    <row r="40" spans="1:13">
      <c r="A40" s="102"/>
      <c r="B40" s="103"/>
      <c r="C40" s="103"/>
      <c r="D40" s="103"/>
      <c r="E40" s="96"/>
      <c r="F40" s="103"/>
      <c r="G40" s="103"/>
      <c r="H40" s="103"/>
      <c r="I40" s="103"/>
      <c r="J40" s="103"/>
      <c r="K40" s="103"/>
      <c r="L40" s="103"/>
      <c r="M40" s="104"/>
    </row>
    <row r="41" spans="1:13">
      <c r="A41" s="102"/>
      <c r="B41" s="103"/>
      <c r="C41" s="103"/>
      <c r="D41" s="103"/>
      <c r="E41" s="96"/>
      <c r="F41" s="103"/>
      <c r="G41" s="103"/>
      <c r="H41" s="103"/>
      <c r="I41" s="103"/>
      <c r="J41" s="103"/>
      <c r="K41" s="103"/>
      <c r="L41" s="103"/>
      <c r="M41" s="104"/>
    </row>
    <row r="42" spans="1:13">
      <c r="A42" s="102"/>
      <c r="B42" s="103"/>
      <c r="C42" s="103"/>
      <c r="D42" s="103"/>
      <c r="E42" s="96"/>
      <c r="F42" s="103"/>
      <c r="G42" s="103"/>
      <c r="H42" s="103"/>
      <c r="I42" s="103"/>
      <c r="J42" s="103"/>
      <c r="K42" s="103"/>
      <c r="L42" s="103"/>
      <c r="M42" s="104"/>
    </row>
    <row r="43" spans="1:13">
      <c r="A43" s="102"/>
      <c r="B43" s="103"/>
      <c r="C43" s="103"/>
      <c r="D43" s="103"/>
      <c r="E43" s="96"/>
      <c r="F43" s="103"/>
      <c r="G43" s="103"/>
      <c r="H43" s="103"/>
      <c r="I43" s="103"/>
      <c r="J43" s="103"/>
      <c r="K43" s="103"/>
      <c r="L43" s="103"/>
      <c r="M43" s="104"/>
    </row>
    <row r="44" spans="1:13">
      <c r="A44" s="102"/>
      <c r="B44" s="103"/>
      <c r="C44" s="103"/>
      <c r="D44" s="103"/>
      <c r="E44" s="96"/>
      <c r="F44" s="103"/>
      <c r="G44" s="103"/>
      <c r="H44" s="103"/>
      <c r="I44" s="103"/>
      <c r="J44" s="103"/>
      <c r="K44" s="103"/>
      <c r="L44" s="103"/>
      <c r="M44" s="104"/>
    </row>
    <row r="45" spans="1:13">
      <c r="A45" s="102"/>
      <c r="B45" s="103"/>
      <c r="C45" s="103"/>
      <c r="D45" s="103"/>
      <c r="E45" s="96"/>
      <c r="F45" s="103"/>
      <c r="G45" s="103"/>
      <c r="H45" s="103"/>
      <c r="I45" s="103"/>
      <c r="J45" s="103"/>
      <c r="K45" s="103"/>
      <c r="L45" s="103"/>
      <c r="M45" s="104"/>
    </row>
    <row r="46" spans="1:13">
      <c r="A46" s="102"/>
      <c r="B46" s="103"/>
      <c r="C46" s="103"/>
      <c r="D46" s="103"/>
      <c r="E46" s="96"/>
      <c r="F46" s="103"/>
      <c r="G46" s="103"/>
      <c r="H46" s="103"/>
      <c r="I46" s="103"/>
      <c r="J46" s="103"/>
      <c r="K46" s="103"/>
      <c r="L46" s="103"/>
      <c r="M46" s="104"/>
    </row>
    <row r="47" spans="1:13">
      <c r="A47" s="102"/>
      <c r="B47" s="103"/>
      <c r="C47" s="103"/>
      <c r="D47" s="103"/>
      <c r="E47" s="96"/>
      <c r="F47" s="103"/>
      <c r="G47" s="103"/>
      <c r="H47" s="103"/>
      <c r="I47" s="103"/>
      <c r="J47" s="103"/>
      <c r="K47" s="103"/>
      <c r="L47" s="103"/>
      <c r="M47" s="104"/>
    </row>
    <row r="48" spans="1:13">
      <c r="A48" s="102"/>
      <c r="B48" s="103"/>
      <c r="C48" s="103"/>
      <c r="D48" s="103"/>
      <c r="E48" s="96"/>
      <c r="F48" s="103"/>
      <c r="G48" s="103"/>
      <c r="H48" s="103"/>
      <c r="I48" s="103"/>
      <c r="J48" s="103"/>
      <c r="K48" s="103"/>
      <c r="L48" s="103"/>
      <c r="M48" s="104"/>
    </row>
    <row r="49" spans="1:13">
      <c r="A49" s="102"/>
      <c r="B49" s="103"/>
      <c r="C49" s="103"/>
      <c r="D49" s="103"/>
      <c r="E49" s="96"/>
      <c r="F49" s="103"/>
      <c r="G49" s="103"/>
      <c r="H49" s="103"/>
      <c r="I49" s="103"/>
      <c r="J49" s="103"/>
      <c r="K49" s="103"/>
      <c r="L49" s="103"/>
      <c r="M49" s="104"/>
    </row>
    <row r="50" spans="1:13">
      <c r="A50" s="102"/>
      <c r="B50" s="103"/>
      <c r="C50" s="103"/>
      <c r="D50" s="103"/>
      <c r="E50" s="96"/>
      <c r="F50" s="103"/>
      <c r="G50" s="103"/>
      <c r="H50" s="103"/>
      <c r="I50" s="103"/>
      <c r="J50" s="103"/>
      <c r="K50" s="103"/>
      <c r="L50" s="103"/>
      <c r="M50" s="104"/>
    </row>
    <row r="51" spans="1:13">
      <c r="A51" s="102"/>
      <c r="B51" s="103"/>
      <c r="C51" s="103"/>
      <c r="D51" s="103"/>
      <c r="E51" s="96"/>
      <c r="F51" s="103"/>
      <c r="G51" s="103"/>
      <c r="H51" s="103"/>
      <c r="I51" s="103"/>
      <c r="J51" s="103"/>
      <c r="K51" s="103"/>
      <c r="L51" s="103"/>
      <c r="M51" s="104"/>
    </row>
    <row r="52" spans="1:13">
      <c r="A52" s="102"/>
      <c r="B52" s="103"/>
      <c r="C52" s="103"/>
      <c r="D52" s="103"/>
      <c r="E52" s="96"/>
      <c r="F52" s="103"/>
      <c r="G52" s="103"/>
      <c r="H52" s="103"/>
      <c r="I52" s="103"/>
      <c r="J52" s="103"/>
      <c r="K52" s="103"/>
      <c r="L52" s="103"/>
      <c r="M52" s="104"/>
    </row>
    <row r="53" spans="1:13">
      <c r="A53" s="102"/>
      <c r="B53" s="103"/>
      <c r="C53" s="103"/>
      <c r="D53" s="103"/>
      <c r="E53" s="96"/>
      <c r="F53" s="103"/>
      <c r="G53" s="103"/>
      <c r="H53" s="103"/>
      <c r="I53" s="103"/>
      <c r="J53" s="103"/>
      <c r="K53" s="103"/>
      <c r="L53" s="103"/>
      <c r="M53" s="104"/>
    </row>
    <row r="54" spans="1:13">
      <c r="A54" s="102"/>
      <c r="B54" s="103"/>
      <c r="C54" s="103"/>
      <c r="D54" s="103"/>
      <c r="E54" s="96"/>
      <c r="F54" s="103"/>
      <c r="G54" s="103"/>
      <c r="H54" s="103"/>
      <c r="I54" s="103"/>
      <c r="J54" s="103"/>
      <c r="K54" s="103"/>
      <c r="L54" s="103"/>
      <c r="M54" s="104"/>
    </row>
    <row r="55" spans="1:13">
      <c r="A55" s="131"/>
      <c r="B55" s="97"/>
      <c r="C55" s="97"/>
      <c r="D55" s="97"/>
      <c r="E55" s="98"/>
      <c r="F55" s="97"/>
      <c r="G55" s="97"/>
      <c r="H55" s="97"/>
      <c r="I55" s="97"/>
      <c r="J55" s="97"/>
      <c r="K55" s="97"/>
      <c r="L55" s="97"/>
      <c r="M55" s="132"/>
    </row>
    <row r="56" spans="1:13" ht="10.5" customHeight="1">
      <c r="A56" s="102"/>
      <c r="B56" s="103"/>
      <c r="C56" s="103"/>
      <c r="D56" s="103"/>
      <c r="E56" s="103"/>
      <c r="F56" s="103"/>
      <c r="G56" s="103"/>
      <c r="H56" s="103"/>
      <c r="I56" s="103"/>
      <c r="J56" s="103"/>
      <c r="K56" s="103"/>
      <c r="L56" s="103"/>
      <c r="M56" s="104"/>
    </row>
    <row r="57" spans="1:13" ht="15.75" thickBot="1">
      <c r="A57" s="166" t="s">
        <v>1348</v>
      </c>
      <c r="B57" s="167"/>
      <c r="C57" s="167"/>
      <c r="D57" s="167"/>
      <c r="E57" s="167"/>
      <c r="F57" s="167"/>
      <c r="G57" s="167"/>
      <c r="H57" s="167"/>
      <c r="I57" s="167"/>
      <c r="J57" s="167"/>
      <c r="K57" s="167"/>
      <c r="L57" s="167"/>
      <c r="M57" s="168"/>
    </row>
    <row r="58" spans="1:13" ht="5.25" customHeight="1">
      <c r="A58" s="125"/>
      <c r="B58" s="126"/>
      <c r="C58" s="126"/>
      <c r="D58" s="126"/>
      <c r="E58" s="126"/>
      <c r="F58" s="126"/>
      <c r="G58" s="126"/>
      <c r="H58" s="126"/>
      <c r="I58" s="126"/>
      <c r="J58" s="126"/>
      <c r="K58" s="126"/>
      <c r="L58" s="126"/>
      <c r="M58" s="127"/>
    </row>
    <row r="59" spans="1:13">
      <c r="A59" s="169" t="s">
        <v>1349</v>
      </c>
      <c r="B59" s="170"/>
      <c r="C59" s="176" t="s">
        <v>1350</v>
      </c>
      <c r="D59" s="176"/>
      <c r="E59" s="177"/>
      <c r="F59" s="174" t="s">
        <v>1349</v>
      </c>
      <c r="G59" s="174"/>
      <c r="H59" s="174"/>
      <c r="I59" s="175"/>
      <c r="J59" s="171" t="s">
        <v>1387</v>
      </c>
      <c r="K59" s="172"/>
      <c r="L59" s="172"/>
      <c r="M59" s="173"/>
    </row>
    <row r="60" spans="1:13">
      <c r="A60" s="125"/>
      <c r="B60" s="126"/>
      <c r="C60" s="126"/>
      <c r="D60" s="126"/>
      <c r="E60" s="129"/>
      <c r="F60" s="126"/>
      <c r="G60" s="126"/>
      <c r="H60" s="126"/>
      <c r="I60" s="126"/>
      <c r="J60" s="126"/>
      <c r="K60" s="126"/>
      <c r="L60" s="126"/>
      <c r="M60" s="127"/>
    </row>
    <row r="61" spans="1:13">
      <c r="A61" s="102"/>
      <c r="B61" s="103"/>
      <c r="C61" s="103"/>
      <c r="D61" s="103"/>
      <c r="E61" s="96"/>
      <c r="F61" s="103"/>
      <c r="G61" s="103"/>
      <c r="H61" s="103"/>
      <c r="I61" s="103"/>
      <c r="J61" s="103"/>
      <c r="K61" s="103"/>
      <c r="L61" s="103"/>
      <c r="M61" s="104"/>
    </row>
    <row r="62" spans="1:13">
      <c r="A62" s="102"/>
      <c r="B62" s="103"/>
      <c r="C62" s="103"/>
      <c r="D62" s="103"/>
      <c r="E62" s="96"/>
      <c r="F62" s="103"/>
      <c r="G62" s="103"/>
      <c r="H62" s="103"/>
      <c r="I62" s="103"/>
      <c r="J62" s="103"/>
      <c r="K62" s="103"/>
      <c r="L62" s="103"/>
      <c r="M62" s="104"/>
    </row>
    <row r="63" spans="1:13">
      <c r="A63" s="102"/>
      <c r="B63" s="103"/>
      <c r="C63" s="103"/>
      <c r="D63" s="103"/>
      <c r="E63" s="96"/>
      <c r="F63" s="103"/>
      <c r="G63" s="103"/>
      <c r="H63" s="103"/>
      <c r="I63" s="103"/>
      <c r="J63" s="103"/>
      <c r="K63" s="103"/>
      <c r="L63" s="103"/>
      <c r="M63" s="104"/>
    </row>
    <row r="64" spans="1:13">
      <c r="A64" s="102"/>
      <c r="B64" s="103"/>
      <c r="C64" s="103"/>
      <c r="D64" s="103"/>
      <c r="E64" s="96"/>
      <c r="F64" s="103"/>
      <c r="G64" s="103"/>
      <c r="H64" s="103"/>
      <c r="I64" s="103"/>
      <c r="J64" s="103"/>
      <c r="K64" s="103"/>
      <c r="L64" s="103"/>
      <c r="M64" s="104"/>
    </row>
    <row r="65" spans="1:13">
      <c r="A65" s="102"/>
      <c r="B65" s="103"/>
      <c r="C65" s="103"/>
      <c r="D65" s="103"/>
      <c r="E65" s="96"/>
      <c r="F65" s="103"/>
      <c r="G65" s="103"/>
      <c r="H65" s="103"/>
      <c r="I65" s="103"/>
      <c r="J65" s="103"/>
      <c r="K65" s="103"/>
      <c r="L65" s="103"/>
      <c r="M65" s="104"/>
    </row>
    <row r="66" spans="1:13">
      <c r="A66" s="102"/>
      <c r="B66" s="103"/>
      <c r="C66" s="103"/>
      <c r="D66" s="103"/>
      <c r="E66" s="96"/>
      <c r="F66" s="103"/>
      <c r="G66" s="103"/>
      <c r="H66" s="103"/>
      <c r="I66" s="103"/>
      <c r="J66" s="103"/>
      <c r="K66" s="103"/>
      <c r="L66" s="103"/>
      <c r="M66" s="104"/>
    </row>
    <row r="67" spans="1:13">
      <c r="A67" s="102"/>
      <c r="B67" s="103"/>
      <c r="C67" s="103"/>
      <c r="D67" s="103"/>
      <c r="E67" s="96"/>
      <c r="F67" s="103"/>
      <c r="G67" s="103"/>
      <c r="H67" s="103"/>
      <c r="I67" s="103"/>
      <c r="J67" s="103"/>
      <c r="K67" s="103"/>
      <c r="L67" s="103"/>
      <c r="M67" s="104"/>
    </row>
    <row r="68" spans="1:13">
      <c r="A68" s="102"/>
      <c r="B68" s="103"/>
      <c r="C68" s="103"/>
      <c r="D68" s="103"/>
      <c r="E68" s="96"/>
      <c r="F68" s="103"/>
      <c r="G68" s="103"/>
      <c r="H68" s="103"/>
      <c r="I68" s="103"/>
      <c r="J68" s="103"/>
      <c r="K68" s="103"/>
      <c r="L68" s="103"/>
      <c r="M68" s="104"/>
    </row>
    <row r="69" spans="1:13">
      <c r="A69" s="102"/>
      <c r="B69" s="103"/>
      <c r="C69" s="103"/>
      <c r="D69" s="103"/>
      <c r="E69" s="96"/>
      <c r="F69" s="103"/>
      <c r="G69" s="103"/>
      <c r="H69" s="103"/>
      <c r="I69" s="103"/>
      <c r="J69" s="103"/>
      <c r="K69" s="103"/>
      <c r="L69" s="103"/>
      <c r="M69" s="104"/>
    </row>
    <row r="70" spans="1:13">
      <c r="A70" s="102"/>
      <c r="B70" s="103"/>
      <c r="C70" s="103"/>
      <c r="D70" s="103"/>
      <c r="E70" s="96"/>
      <c r="F70" s="103"/>
      <c r="G70" s="103"/>
      <c r="H70" s="103"/>
      <c r="I70" s="103"/>
      <c r="J70" s="103"/>
      <c r="K70" s="103"/>
      <c r="L70" s="103"/>
      <c r="M70" s="104"/>
    </row>
    <row r="71" spans="1:13">
      <c r="A71" s="102"/>
      <c r="B71" s="103"/>
      <c r="C71" s="103"/>
      <c r="D71" s="103"/>
      <c r="E71" s="96"/>
      <c r="F71" s="103"/>
      <c r="G71" s="103"/>
      <c r="H71" s="103"/>
      <c r="I71" s="103"/>
      <c r="J71" s="103"/>
      <c r="K71" s="103"/>
      <c r="L71" s="103"/>
      <c r="M71" s="104"/>
    </row>
    <row r="72" spans="1:13">
      <c r="A72" s="102"/>
      <c r="B72" s="103"/>
      <c r="C72" s="103"/>
      <c r="D72" s="103"/>
      <c r="E72" s="96"/>
      <c r="F72" s="103"/>
      <c r="G72" s="103"/>
      <c r="H72" s="103"/>
      <c r="I72" s="103"/>
      <c r="J72" s="103"/>
      <c r="K72" s="103"/>
      <c r="L72" s="103"/>
      <c r="M72" s="104"/>
    </row>
    <row r="73" spans="1:13">
      <c r="A73" s="102"/>
      <c r="B73" s="103"/>
      <c r="C73" s="103"/>
      <c r="D73" s="103"/>
      <c r="E73" s="96"/>
      <c r="F73" s="103"/>
      <c r="G73" s="103"/>
      <c r="H73" s="103"/>
      <c r="I73" s="103"/>
      <c r="J73" s="103"/>
      <c r="K73" s="103"/>
      <c r="L73" s="103"/>
      <c r="M73" s="104"/>
    </row>
    <row r="74" spans="1:13">
      <c r="A74" s="102"/>
      <c r="B74" s="103"/>
      <c r="C74" s="103"/>
      <c r="D74" s="103"/>
      <c r="E74" s="96"/>
      <c r="F74" s="103"/>
      <c r="G74" s="103"/>
      <c r="H74" s="103"/>
      <c r="I74" s="103"/>
      <c r="J74" s="103"/>
      <c r="K74" s="103"/>
      <c r="L74" s="103"/>
      <c r="M74" s="104"/>
    </row>
    <row r="75" spans="1:13">
      <c r="A75" s="102"/>
      <c r="B75" s="103"/>
      <c r="C75" s="103"/>
      <c r="D75" s="103"/>
      <c r="E75" s="96"/>
      <c r="F75" s="103"/>
      <c r="G75" s="103"/>
      <c r="H75" s="103"/>
      <c r="I75" s="103"/>
      <c r="J75" s="103"/>
      <c r="K75" s="103"/>
      <c r="L75" s="103"/>
      <c r="M75" s="104"/>
    </row>
    <row r="76" spans="1:13">
      <c r="A76" s="102"/>
      <c r="B76" s="103"/>
      <c r="C76" s="103"/>
      <c r="D76" s="103"/>
      <c r="E76" s="96"/>
      <c r="F76" s="103"/>
      <c r="G76" s="103"/>
      <c r="H76" s="103"/>
      <c r="I76" s="103"/>
      <c r="J76" s="103"/>
      <c r="K76" s="103"/>
      <c r="L76" s="103"/>
      <c r="M76" s="104"/>
    </row>
    <row r="77" spans="1:13">
      <c r="A77" s="102"/>
      <c r="B77" s="103"/>
      <c r="C77" s="103"/>
      <c r="D77" s="103"/>
      <c r="E77" s="96"/>
      <c r="F77" s="103"/>
      <c r="G77" s="103"/>
      <c r="H77" s="103"/>
      <c r="I77" s="103"/>
      <c r="J77" s="103"/>
      <c r="K77" s="103"/>
      <c r="L77" s="103"/>
      <c r="M77" s="104"/>
    </row>
    <row r="78" spans="1:13">
      <c r="A78" s="102"/>
      <c r="B78" s="103"/>
      <c r="C78" s="103"/>
      <c r="D78" s="103"/>
      <c r="E78" s="96"/>
      <c r="F78" s="103"/>
      <c r="G78" s="103"/>
      <c r="H78" s="103"/>
      <c r="I78" s="103"/>
      <c r="J78" s="103"/>
      <c r="K78" s="103"/>
      <c r="L78" s="103"/>
      <c r="M78" s="104"/>
    </row>
    <row r="79" spans="1:13">
      <c r="A79" s="102"/>
      <c r="B79" s="103"/>
      <c r="C79" s="103"/>
      <c r="D79" s="103"/>
      <c r="E79" s="96"/>
      <c r="F79" s="103"/>
      <c r="G79" s="103"/>
      <c r="H79" s="103"/>
      <c r="I79" s="103"/>
      <c r="J79" s="103"/>
      <c r="K79" s="103"/>
      <c r="L79" s="103"/>
      <c r="M79" s="104"/>
    </row>
    <row r="80" spans="1:13" ht="15.75" thickBot="1">
      <c r="A80" s="131"/>
      <c r="B80" s="97"/>
      <c r="C80" s="97"/>
      <c r="D80" s="97"/>
      <c r="E80" s="98"/>
      <c r="F80" s="97"/>
      <c r="G80" s="97"/>
      <c r="H80" s="97"/>
      <c r="I80" s="97"/>
      <c r="J80" s="97"/>
      <c r="K80" s="97"/>
      <c r="L80" s="97"/>
      <c r="M80" s="132"/>
    </row>
    <row r="81" spans="1:13" ht="15.75" thickBot="1">
      <c r="A81" s="160"/>
      <c r="B81" s="161"/>
      <c r="C81" s="161"/>
      <c r="D81" s="161"/>
      <c r="E81" s="161"/>
      <c r="F81" s="161"/>
      <c r="G81" s="161"/>
      <c r="H81" s="161"/>
      <c r="I81" s="161"/>
      <c r="J81" s="161"/>
      <c r="K81" s="161"/>
      <c r="L81" s="161"/>
      <c r="M81" s="162"/>
    </row>
  </sheetData>
  <mergeCells count="25">
    <mergeCell ref="A1:M1"/>
    <mergeCell ref="D3:E4"/>
    <mergeCell ref="A11:A12"/>
    <mergeCell ref="B11:B12"/>
    <mergeCell ref="F3:G5"/>
    <mergeCell ref="F6:G6"/>
    <mergeCell ref="F7:G7"/>
    <mergeCell ref="C11:D11"/>
    <mergeCell ref="I3:J5"/>
    <mergeCell ref="H3:H5"/>
    <mergeCell ref="I6:J7"/>
    <mergeCell ref="A81:M81"/>
    <mergeCell ref="A59:B59"/>
    <mergeCell ref="C59:E59"/>
    <mergeCell ref="F59:I59"/>
    <mergeCell ref="J59:M59"/>
    <mergeCell ref="A22:D22"/>
    <mergeCell ref="A21:D21"/>
    <mergeCell ref="A9:M9"/>
    <mergeCell ref="A32:M32"/>
    <mergeCell ref="A57:M57"/>
    <mergeCell ref="A34:B34"/>
    <mergeCell ref="J34:M34"/>
    <mergeCell ref="F34:I34"/>
    <mergeCell ref="C34:E34"/>
  </mergeCells>
  <conditionalFormatting sqref="D13:D19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{D0E3DA1A-AB8D-4AA8-8420-33D9BB0EA699}</x14:id>
        </ext>
      </extLst>
    </cfRule>
  </conditionalFormatting>
  <dataValidations count="3">
    <dataValidation type="list" allowBlank="1" showInputMessage="1" showErrorMessage="1" sqref="A22" xr:uid="{00000000-0002-0000-0000-000000000000}">
      <formula1>$A$13:$A$19</formula1>
    </dataValidation>
    <dataValidation type="list" allowBlank="1" showInputMessage="1" showErrorMessage="1" sqref="C34 C59" xr:uid="{00000000-0002-0000-0000-000001000000}">
      <formula1>"Venta [USD],Participación [%]"</formula1>
    </dataValidation>
    <dataValidation type="list" allowBlank="1" showInputMessage="1" showErrorMessage="1" sqref="J34 J59" xr:uid="{00000000-0002-0000-0000-000002000000}">
      <formula1>"Venta [lts],Particpación [%]"</formula1>
    </dataValidation>
  </dataValidations>
  <pageMargins left="0.7" right="0.7" top="0.75" bottom="0.75" header="0.3" footer="0.3"/>
  <pageSetup paperSize="9" scale="42" orientation="landscape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0E3DA1A-AB8D-4AA8-8420-33D9BB0EA69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D13:D19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3:D39"/>
  <sheetViews>
    <sheetView topLeftCell="A16" workbookViewId="0">
      <selection activeCell="D27" sqref="D27"/>
    </sheetView>
  </sheetViews>
  <sheetFormatPr baseColWidth="10" defaultRowHeight="15"/>
  <cols>
    <col min="1" max="1" width="26" bestFit="1" customWidth="1"/>
    <col min="2" max="2" width="13.7109375" bestFit="1" customWidth="1"/>
    <col min="3" max="3" width="16.85546875" bestFit="1" customWidth="1"/>
    <col min="4" max="4" width="13.42578125" bestFit="1" customWidth="1"/>
    <col min="5" max="6" width="5" bestFit="1" customWidth="1"/>
    <col min="7" max="7" width="4" bestFit="1" customWidth="1"/>
    <col min="8" max="20" width="5" bestFit="1" customWidth="1"/>
    <col min="21" max="21" width="2" bestFit="1" customWidth="1"/>
    <col min="22" max="29" width="5" bestFit="1" customWidth="1"/>
    <col min="30" max="30" width="4" bestFit="1" customWidth="1"/>
    <col min="31" max="34" width="5" bestFit="1" customWidth="1"/>
    <col min="35" max="35" width="4" bestFit="1" customWidth="1"/>
    <col min="36" max="41" width="5" bestFit="1" customWidth="1"/>
    <col min="42" max="43" width="4" bestFit="1" customWidth="1"/>
    <col min="44" max="47" width="5" bestFit="1" customWidth="1"/>
    <col min="48" max="48" width="2" bestFit="1" customWidth="1"/>
    <col min="49" max="62" width="5" bestFit="1" customWidth="1"/>
    <col min="63" max="63" width="4" bestFit="1" customWidth="1"/>
    <col min="64" max="65" width="5" bestFit="1" customWidth="1"/>
    <col min="66" max="67" width="4" bestFit="1" customWidth="1"/>
    <col min="68" max="71" width="5" bestFit="1" customWidth="1"/>
    <col min="72" max="72" width="4" bestFit="1" customWidth="1"/>
    <col min="73" max="74" width="5" bestFit="1" customWidth="1"/>
    <col min="75" max="75" width="2" bestFit="1" customWidth="1"/>
    <col min="76" max="77" width="5" bestFit="1" customWidth="1"/>
    <col min="78" max="78" width="4" bestFit="1" customWidth="1"/>
    <col min="79" max="90" width="5" bestFit="1" customWidth="1"/>
    <col min="91" max="91" width="4" bestFit="1" customWidth="1"/>
    <col min="92" max="94" width="5" bestFit="1" customWidth="1"/>
    <col min="95" max="95" width="4" bestFit="1" customWidth="1"/>
    <col min="96" max="107" width="5" bestFit="1" customWidth="1"/>
    <col min="108" max="108" width="4" bestFit="1" customWidth="1"/>
    <col min="109" max="110" width="5" bestFit="1" customWidth="1"/>
    <col min="111" max="111" width="4" bestFit="1" customWidth="1"/>
    <col min="112" max="116" width="5" bestFit="1" customWidth="1"/>
    <col min="117" max="117" width="4" bestFit="1" customWidth="1"/>
    <col min="118" max="123" width="5" bestFit="1" customWidth="1"/>
    <col min="124" max="124" width="4" bestFit="1" customWidth="1"/>
    <col min="125" max="131" width="5" bestFit="1" customWidth="1"/>
    <col min="132" max="132" width="4" bestFit="1" customWidth="1"/>
    <col min="133" max="145" width="5" bestFit="1" customWidth="1"/>
    <col min="146" max="146" width="4" bestFit="1" customWidth="1"/>
    <col min="147" max="158" width="5" bestFit="1" customWidth="1"/>
    <col min="159" max="159" width="4" bestFit="1" customWidth="1"/>
    <col min="160" max="165" width="5" bestFit="1" customWidth="1"/>
    <col min="166" max="166" width="2" bestFit="1" customWidth="1"/>
    <col min="167" max="173" width="5" bestFit="1" customWidth="1"/>
    <col min="174" max="174" width="2" bestFit="1" customWidth="1"/>
    <col min="175" max="184" width="5" bestFit="1" customWidth="1"/>
    <col min="185" max="185" width="4" bestFit="1" customWidth="1"/>
    <col min="186" max="188" width="6" bestFit="1" customWidth="1"/>
    <col min="189" max="189" width="5" bestFit="1" customWidth="1"/>
    <col min="190" max="190" width="6" bestFit="1" customWidth="1"/>
    <col min="191" max="191" width="5" bestFit="1" customWidth="1"/>
    <col min="192" max="193" width="6" bestFit="1" customWidth="1"/>
    <col min="194" max="194" width="5" bestFit="1" customWidth="1"/>
    <col min="195" max="202" width="6" bestFit="1" customWidth="1"/>
    <col min="203" max="203" width="3" bestFit="1" customWidth="1"/>
    <col min="204" max="210" width="6" bestFit="1" customWidth="1"/>
    <col min="211" max="212" width="5" bestFit="1" customWidth="1"/>
    <col min="213" max="224" width="6" bestFit="1" customWidth="1"/>
    <col min="225" max="225" width="5" bestFit="1" customWidth="1"/>
    <col min="226" max="227" width="6" bestFit="1" customWidth="1"/>
    <col min="228" max="228" width="3" bestFit="1" customWidth="1"/>
    <col min="229" max="245" width="6" bestFit="1" customWidth="1"/>
    <col min="246" max="247" width="5" bestFit="1" customWidth="1"/>
    <col min="248" max="248" width="6" bestFit="1" customWidth="1"/>
    <col min="249" max="249" width="5" bestFit="1" customWidth="1"/>
    <col min="250" max="250" width="6" bestFit="1" customWidth="1"/>
    <col min="251" max="252" width="5" bestFit="1" customWidth="1"/>
    <col min="253" max="256" width="6" bestFit="1" customWidth="1"/>
    <col min="257" max="257" width="5" bestFit="1" customWidth="1"/>
    <col min="258" max="258" width="6" bestFit="1" customWidth="1"/>
    <col min="259" max="259" width="5" bestFit="1" customWidth="1"/>
    <col min="260" max="261" width="6" bestFit="1" customWidth="1"/>
    <col min="262" max="262" width="5" bestFit="1" customWidth="1"/>
    <col min="263" max="271" width="6" bestFit="1" customWidth="1"/>
    <col min="272" max="273" width="5" bestFit="1" customWidth="1"/>
    <col min="274" max="275" width="6" bestFit="1" customWidth="1"/>
    <col min="276" max="276" width="5" bestFit="1" customWidth="1"/>
    <col min="277" max="281" width="6" bestFit="1" customWidth="1"/>
    <col min="282" max="282" width="5" bestFit="1" customWidth="1"/>
    <col min="283" max="283" width="6" bestFit="1" customWidth="1"/>
    <col min="284" max="284" width="5" bestFit="1" customWidth="1"/>
    <col min="285" max="307" width="6" bestFit="1" customWidth="1"/>
    <col min="308" max="308" width="3" bestFit="1" customWidth="1"/>
    <col min="309" max="311" width="6" bestFit="1" customWidth="1"/>
    <col min="312" max="312" width="5" bestFit="1" customWidth="1"/>
    <col min="313" max="319" width="6" bestFit="1" customWidth="1"/>
    <col min="320" max="320" width="5" bestFit="1" customWidth="1"/>
    <col min="321" max="331" width="6" bestFit="1" customWidth="1"/>
    <col min="332" max="332" width="5" bestFit="1" customWidth="1"/>
    <col min="333" max="334" width="6" bestFit="1" customWidth="1"/>
    <col min="335" max="335" width="5" bestFit="1" customWidth="1"/>
    <col min="336" max="336" width="3" bestFit="1" customWidth="1"/>
    <col min="337" max="337" width="5" bestFit="1" customWidth="1"/>
    <col min="338" max="339" width="6" bestFit="1" customWidth="1"/>
    <col min="340" max="340" width="3" bestFit="1" customWidth="1"/>
    <col min="341" max="347" width="6" bestFit="1" customWidth="1"/>
    <col min="348" max="348" width="5" bestFit="1" customWidth="1"/>
    <col min="349" max="354" width="6" bestFit="1" customWidth="1"/>
    <col min="355" max="355" width="5" bestFit="1" customWidth="1"/>
    <col min="356" max="356" width="3" bestFit="1" customWidth="1"/>
    <col min="357" max="358" width="6" bestFit="1" customWidth="1"/>
    <col min="359" max="359" width="5" bestFit="1" customWidth="1"/>
    <col min="360" max="361" width="6" bestFit="1" customWidth="1"/>
    <col min="362" max="362" width="3" bestFit="1" customWidth="1"/>
    <col min="363" max="364" width="6" bestFit="1" customWidth="1"/>
    <col min="365" max="365" width="5" bestFit="1" customWidth="1"/>
    <col min="366" max="366" width="6" bestFit="1" customWidth="1"/>
    <col min="367" max="367" width="7" bestFit="1" customWidth="1"/>
    <col min="368" max="368" width="6" bestFit="1" customWidth="1"/>
    <col min="369" max="387" width="7" bestFit="1" customWidth="1"/>
    <col min="388" max="388" width="12.5703125" bestFit="1" customWidth="1"/>
  </cols>
  <sheetData>
    <row r="3" spans="1:4">
      <c r="A3" s="38" t="s">
        <v>1192</v>
      </c>
      <c r="B3" t="s">
        <v>1194</v>
      </c>
      <c r="C3" t="s">
        <v>1195</v>
      </c>
      <c r="D3" t="s">
        <v>1196</v>
      </c>
    </row>
    <row r="4" spans="1:4">
      <c r="A4" s="39" t="s">
        <v>549</v>
      </c>
      <c r="B4" s="40">
        <v>8.41</v>
      </c>
      <c r="C4" s="40">
        <v>7.0000000000000007E-2</v>
      </c>
      <c r="D4" s="40">
        <v>8.34</v>
      </c>
    </row>
    <row r="5" spans="1:4">
      <c r="A5" s="39" t="s">
        <v>198</v>
      </c>
      <c r="B5" s="40">
        <v>48.839999999999996</v>
      </c>
      <c r="C5" s="40">
        <v>16.309999999999999</v>
      </c>
      <c r="D5" s="40">
        <v>32.53</v>
      </c>
    </row>
    <row r="6" spans="1:4">
      <c r="A6" s="39" t="s">
        <v>206</v>
      </c>
      <c r="B6" s="40">
        <v>2203.4900000000002</v>
      </c>
      <c r="C6" s="40">
        <v>451.76</v>
      </c>
      <c r="D6" s="40">
        <v>1751.7300000000002</v>
      </c>
    </row>
    <row r="7" spans="1:4">
      <c r="A7" s="39" t="s">
        <v>203</v>
      </c>
      <c r="B7" s="40">
        <v>527.95000000000005</v>
      </c>
      <c r="C7" s="40">
        <v>158.35000000000005</v>
      </c>
      <c r="D7" s="40">
        <v>369.59999999999997</v>
      </c>
    </row>
    <row r="8" spans="1:4">
      <c r="A8" s="39" t="s">
        <v>234</v>
      </c>
      <c r="B8" s="40">
        <v>1557.7699999999998</v>
      </c>
      <c r="C8" s="40">
        <v>87.750000000000014</v>
      </c>
      <c r="D8" s="40">
        <v>1470.0199999999995</v>
      </c>
    </row>
    <row r="9" spans="1:4">
      <c r="A9" s="39" t="s">
        <v>1169</v>
      </c>
      <c r="B9" s="40">
        <v>18.3</v>
      </c>
      <c r="C9" s="40">
        <v>2.78</v>
      </c>
      <c r="D9" s="40">
        <v>15.52</v>
      </c>
    </row>
    <row r="10" spans="1:4">
      <c r="A10" s="39" t="s">
        <v>1175</v>
      </c>
      <c r="B10" s="40">
        <v>1.69</v>
      </c>
      <c r="C10" s="40">
        <v>1.42</v>
      </c>
      <c r="D10" s="40">
        <v>0.27</v>
      </c>
    </row>
    <row r="11" spans="1:4">
      <c r="A11" s="39" t="s">
        <v>1010</v>
      </c>
      <c r="B11" s="40">
        <v>5.84</v>
      </c>
      <c r="C11" s="40">
        <v>4.67</v>
      </c>
      <c r="D11" s="40">
        <v>1.17</v>
      </c>
    </row>
    <row r="12" spans="1:4">
      <c r="A12" s="39" t="s">
        <v>646</v>
      </c>
      <c r="B12" s="40">
        <v>0</v>
      </c>
      <c r="C12" s="40">
        <v>0</v>
      </c>
      <c r="D12" s="40">
        <v>0</v>
      </c>
    </row>
    <row r="13" spans="1:4">
      <c r="A13" s="39" t="s">
        <v>568</v>
      </c>
      <c r="B13" s="40">
        <v>0</v>
      </c>
      <c r="C13" s="40">
        <v>0</v>
      </c>
      <c r="D13" s="40">
        <v>0</v>
      </c>
    </row>
    <row r="14" spans="1:4">
      <c r="A14" s="39" t="s">
        <v>351</v>
      </c>
      <c r="B14" s="40">
        <v>0</v>
      </c>
      <c r="C14" s="40">
        <v>0</v>
      </c>
      <c r="D14" s="40">
        <v>0</v>
      </c>
    </row>
    <row r="15" spans="1:4">
      <c r="A15" s="39" t="s">
        <v>366</v>
      </c>
      <c r="B15" s="40">
        <v>0</v>
      </c>
      <c r="C15" s="40">
        <v>0</v>
      </c>
      <c r="D15" s="40">
        <v>0</v>
      </c>
    </row>
    <row r="16" spans="1:4">
      <c r="A16" s="39" t="s">
        <v>496</v>
      </c>
      <c r="B16" s="40">
        <v>0</v>
      </c>
      <c r="C16" s="40">
        <v>0</v>
      </c>
      <c r="D16" s="40">
        <v>0</v>
      </c>
    </row>
    <row r="17" spans="1:4">
      <c r="A17" s="39" t="s">
        <v>800</v>
      </c>
      <c r="B17" s="40">
        <v>268.89999999999998</v>
      </c>
      <c r="C17" s="40">
        <v>21.679999999999996</v>
      </c>
      <c r="D17" s="40">
        <v>247.22</v>
      </c>
    </row>
    <row r="18" spans="1:4">
      <c r="A18" s="39" t="s">
        <v>1111</v>
      </c>
      <c r="B18" s="40">
        <v>43.269999999999996</v>
      </c>
      <c r="C18" s="40">
        <v>16.23</v>
      </c>
      <c r="D18" s="40">
        <v>27.04</v>
      </c>
    </row>
    <row r="19" spans="1:4">
      <c r="A19" s="39" t="s">
        <v>309</v>
      </c>
      <c r="B19" s="40">
        <v>1774.1600000000003</v>
      </c>
      <c r="C19" s="40">
        <v>146.02000000000004</v>
      </c>
      <c r="D19" s="40">
        <v>1628.1399999999999</v>
      </c>
    </row>
    <row r="20" spans="1:4">
      <c r="A20" s="39" t="s">
        <v>326</v>
      </c>
      <c r="B20" s="40">
        <v>1837.92</v>
      </c>
      <c r="C20" s="40">
        <v>78.320000000000007</v>
      </c>
      <c r="D20" s="40">
        <v>1759.6000000000001</v>
      </c>
    </row>
    <row r="21" spans="1:4">
      <c r="A21" s="39" t="s">
        <v>373</v>
      </c>
      <c r="B21" s="40">
        <v>364.61</v>
      </c>
      <c r="C21" s="40">
        <v>27.63</v>
      </c>
      <c r="D21" s="40">
        <v>336.97999999999996</v>
      </c>
    </row>
    <row r="22" spans="1:4">
      <c r="A22" s="39" t="s">
        <v>379</v>
      </c>
      <c r="B22" s="40">
        <v>263.33000000000004</v>
      </c>
      <c r="C22" s="40">
        <v>28.02</v>
      </c>
      <c r="D22" s="40">
        <v>235.30999999999997</v>
      </c>
    </row>
    <row r="23" spans="1:4">
      <c r="A23" s="39" t="s">
        <v>602</v>
      </c>
      <c r="B23" s="40">
        <v>14.88</v>
      </c>
      <c r="C23" s="40">
        <v>2.82</v>
      </c>
      <c r="D23" s="40">
        <v>12.06</v>
      </c>
    </row>
    <row r="24" spans="1:4">
      <c r="A24" s="39" t="s">
        <v>415</v>
      </c>
      <c r="B24" s="40">
        <v>106.49000000000001</v>
      </c>
      <c r="C24" s="40">
        <v>40.75</v>
      </c>
      <c r="D24" s="40">
        <v>65.740000000000009</v>
      </c>
    </row>
    <row r="25" spans="1:4">
      <c r="A25" s="39" t="s">
        <v>1188</v>
      </c>
      <c r="B25" s="40">
        <v>22.33</v>
      </c>
      <c r="C25" s="40">
        <v>22.22</v>
      </c>
      <c r="D25" s="40">
        <v>0.11</v>
      </c>
    </row>
    <row r="26" spans="1:4">
      <c r="A26" s="39" t="s">
        <v>680</v>
      </c>
      <c r="B26" s="40">
        <v>28.54</v>
      </c>
      <c r="C26" s="40">
        <v>27.46</v>
      </c>
      <c r="D26" s="40">
        <v>1.08</v>
      </c>
    </row>
    <row r="27" spans="1:4">
      <c r="A27" s="39" t="s">
        <v>941</v>
      </c>
      <c r="B27" s="40">
        <v>52.86999999999999</v>
      </c>
      <c r="C27" s="40">
        <v>52.320000000000007</v>
      </c>
      <c r="D27" s="40">
        <v>0.55000000000000004</v>
      </c>
    </row>
    <row r="28" spans="1:4">
      <c r="A28" s="39" t="s">
        <v>664</v>
      </c>
      <c r="B28" s="40">
        <v>67.400000000000006</v>
      </c>
      <c r="C28" s="40">
        <v>34.69</v>
      </c>
      <c r="D28" s="40">
        <v>32.709999999999994</v>
      </c>
    </row>
    <row r="29" spans="1:4">
      <c r="A29" s="39" t="s">
        <v>972</v>
      </c>
      <c r="B29" s="40">
        <v>70.42</v>
      </c>
      <c r="C29" s="40">
        <v>70.050000000000011</v>
      </c>
      <c r="D29" s="40">
        <v>0.37</v>
      </c>
    </row>
    <row r="30" spans="1:4">
      <c r="A30" s="39" t="s">
        <v>1039</v>
      </c>
      <c r="B30" s="40">
        <v>16.82</v>
      </c>
      <c r="C30" s="40">
        <v>16.7</v>
      </c>
      <c r="D30" s="40">
        <v>0.12</v>
      </c>
    </row>
    <row r="31" spans="1:4">
      <c r="A31" s="39" t="s">
        <v>1080</v>
      </c>
      <c r="B31" s="40">
        <v>17.98</v>
      </c>
      <c r="C31" s="40">
        <v>17.89</v>
      </c>
      <c r="D31" s="40">
        <v>0.09</v>
      </c>
    </row>
    <row r="32" spans="1:4">
      <c r="A32" s="39" t="s">
        <v>369</v>
      </c>
      <c r="B32" s="40">
        <v>716.74000000000012</v>
      </c>
      <c r="C32" s="40">
        <v>36.020000000000003</v>
      </c>
      <c r="D32" s="40">
        <v>680.72</v>
      </c>
    </row>
    <row r="33" spans="1:4">
      <c r="A33" s="39" t="s">
        <v>513</v>
      </c>
      <c r="B33" s="40">
        <v>291.57</v>
      </c>
      <c r="C33" s="40">
        <v>34.11</v>
      </c>
      <c r="D33" s="40">
        <v>257.45999999999998</v>
      </c>
    </row>
    <row r="34" spans="1:4">
      <c r="A34" s="39" t="s">
        <v>537</v>
      </c>
      <c r="B34" s="40">
        <v>54.98</v>
      </c>
      <c r="C34" s="40">
        <v>25.230000000000004</v>
      </c>
      <c r="D34" s="40">
        <v>29.75</v>
      </c>
    </row>
    <row r="35" spans="1:4">
      <c r="A35" s="39" t="s">
        <v>436</v>
      </c>
      <c r="B35" s="40">
        <v>131.79000000000002</v>
      </c>
      <c r="C35" s="40">
        <v>84.739999999999981</v>
      </c>
      <c r="D35" s="40">
        <v>47.050000000000004</v>
      </c>
    </row>
    <row r="36" spans="1:4">
      <c r="A36" s="39" t="s">
        <v>725</v>
      </c>
      <c r="B36" s="40">
        <v>179.89000000000004</v>
      </c>
      <c r="C36" s="40">
        <v>6.1099999999999994</v>
      </c>
      <c r="D36" s="40">
        <v>173.77999999999997</v>
      </c>
    </row>
    <row r="37" spans="1:4">
      <c r="A37" s="39" t="s">
        <v>213</v>
      </c>
      <c r="B37" s="40">
        <v>0</v>
      </c>
      <c r="C37" s="40">
        <v>0</v>
      </c>
      <c r="D37" s="40">
        <v>0</v>
      </c>
    </row>
    <row r="38" spans="1:4">
      <c r="A38" s="39" t="s">
        <v>301</v>
      </c>
      <c r="B38" s="40">
        <v>0</v>
      </c>
      <c r="C38" s="40">
        <v>0</v>
      </c>
      <c r="D38" s="40">
        <v>0</v>
      </c>
    </row>
    <row r="39" spans="1:4">
      <c r="A39" s="39" t="s">
        <v>1193</v>
      </c>
      <c r="B39" s="40">
        <v>10697.18</v>
      </c>
      <c r="C39" s="40">
        <v>1512.12</v>
      </c>
      <c r="D39" s="40">
        <v>9185.06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filterMode="1"/>
  <dimension ref="A1:O483"/>
  <sheetViews>
    <sheetView workbookViewId="0">
      <selection activeCell="E501" sqref="E501"/>
    </sheetView>
  </sheetViews>
  <sheetFormatPr baseColWidth="10" defaultRowHeight="15"/>
  <cols>
    <col min="1" max="1" width="22.7109375" bestFit="1" customWidth="1"/>
    <col min="2" max="2" width="18.42578125" bestFit="1" customWidth="1"/>
    <col min="3" max="3" width="17.85546875" bestFit="1" customWidth="1"/>
    <col min="4" max="4" width="7.140625" bestFit="1" customWidth="1"/>
    <col min="5" max="5" width="30" bestFit="1" customWidth="1"/>
    <col min="6" max="6" width="11.28515625" bestFit="1" customWidth="1"/>
    <col min="7" max="7" width="16.42578125" bestFit="1" customWidth="1"/>
    <col min="8" max="8" width="9.28515625" bestFit="1" customWidth="1"/>
    <col min="9" max="9" width="12.28515625" bestFit="1" customWidth="1"/>
    <col min="10" max="10" width="26" bestFit="1" customWidth="1"/>
    <col min="11" max="11" width="9" bestFit="1" customWidth="1"/>
    <col min="12" max="12" width="13.5703125" bestFit="1" customWidth="1"/>
    <col min="13" max="13" width="7" bestFit="1" customWidth="1"/>
    <col min="14" max="14" width="8.7109375" bestFit="1" customWidth="1"/>
  </cols>
  <sheetData>
    <row r="1" spans="1:15">
      <c r="A1" s="37" t="s">
        <v>175</v>
      </c>
      <c r="B1" s="37" t="s">
        <v>176</v>
      </c>
      <c r="C1" s="37" t="s">
        <v>177</v>
      </c>
      <c r="D1" s="37" t="s">
        <v>178</v>
      </c>
      <c r="E1" s="37" t="s">
        <v>179</v>
      </c>
      <c r="F1" s="37" t="s">
        <v>180</v>
      </c>
      <c r="G1" s="37" t="s">
        <v>181</v>
      </c>
      <c r="H1" s="37" t="s">
        <v>182</v>
      </c>
      <c r="I1" s="37" t="s">
        <v>183</v>
      </c>
      <c r="J1" s="37" t="s">
        <v>184</v>
      </c>
      <c r="K1" s="37" t="s">
        <v>185</v>
      </c>
      <c r="L1" s="37" t="s">
        <v>186</v>
      </c>
      <c r="M1" s="37" t="s">
        <v>187</v>
      </c>
      <c r="N1" s="37" t="s">
        <v>188</v>
      </c>
      <c r="O1" s="37" t="s">
        <v>1191</v>
      </c>
    </row>
    <row r="2" spans="1:15" hidden="1">
      <c r="A2" t="s">
        <v>189</v>
      </c>
      <c r="B2" t="s">
        <v>190</v>
      </c>
      <c r="C2" t="s">
        <v>191</v>
      </c>
      <c r="D2" t="s">
        <v>192</v>
      </c>
      <c r="E2" t="s">
        <v>193</v>
      </c>
      <c r="F2" t="s">
        <v>194</v>
      </c>
      <c r="G2" t="s">
        <v>195</v>
      </c>
      <c r="H2" t="s">
        <v>196</v>
      </c>
      <c r="I2" t="s">
        <v>197</v>
      </c>
      <c r="J2" t="s">
        <v>198</v>
      </c>
      <c r="K2">
        <v>7</v>
      </c>
      <c r="L2" s="36">
        <v>43898</v>
      </c>
      <c r="M2">
        <v>6.43</v>
      </c>
      <c r="N2">
        <v>3.76</v>
      </c>
      <c r="O2">
        <f>M2+N2</f>
        <v>10.19</v>
      </c>
    </row>
    <row r="3" spans="1:15" hidden="1">
      <c r="A3" t="s">
        <v>199</v>
      </c>
      <c r="B3" t="s">
        <v>200</v>
      </c>
      <c r="C3" t="s">
        <v>191</v>
      </c>
      <c r="D3" t="s">
        <v>192</v>
      </c>
      <c r="E3" t="s">
        <v>193</v>
      </c>
      <c r="F3" t="s">
        <v>201</v>
      </c>
      <c r="G3" t="s">
        <v>202</v>
      </c>
      <c r="H3" t="s">
        <v>196</v>
      </c>
      <c r="I3" t="s">
        <v>197</v>
      </c>
      <c r="J3" t="s">
        <v>203</v>
      </c>
      <c r="K3">
        <v>49235</v>
      </c>
      <c r="L3" s="36">
        <v>43845</v>
      </c>
      <c r="M3">
        <v>4.63</v>
      </c>
      <c r="N3">
        <v>0.56999999999999995</v>
      </c>
      <c r="O3">
        <f t="shared" ref="O3:O66" si="0">M3+N3</f>
        <v>5.2</v>
      </c>
    </row>
    <row r="4" spans="1:15" hidden="1">
      <c r="A4" t="s">
        <v>204</v>
      </c>
      <c r="B4" t="s">
        <v>205</v>
      </c>
      <c r="C4" t="s">
        <v>191</v>
      </c>
      <c r="D4" t="s">
        <v>192</v>
      </c>
      <c r="E4" t="s">
        <v>193</v>
      </c>
      <c r="F4" t="s">
        <v>201</v>
      </c>
      <c r="G4" t="s">
        <v>202</v>
      </c>
      <c r="H4" t="s">
        <v>196</v>
      </c>
      <c r="I4" t="s">
        <v>197</v>
      </c>
      <c r="J4" t="s">
        <v>206</v>
      </c>
      <c r="K4">
        <v>175</v>
      </c>
      <c r="L4" s="36">
        <v>43899</v>
      </c>
      <c r="M4">
        <v>7.08</v>
      </c>
      <c r="N4">
        <v>27.97</v>
      </c>
      <c r="O4">
        <f t="shared" si="0"/>
        <v>35.049999999999997</v>
      </c>
    </row>
    <row r="5" spans="1:15" hidden="1">
      <c r="A5" t="s">
        <v>207</v>
      </c>
      <c r="B5" t="s">
        <v>208</v>
      </c>
      <c r="C5" t="s">
        <v>191</v>
      </c>
      <c r="D5" t="s">
        <v>192</v>
      </c>
      <c r="E5" t="s">
        <v>193</v>
      </c>
      <c r="F5" t="s">
        <v>201</v>
      </c>
      <c r="G5" t="s">
        <v>202</v>
      </c>
      <c r="H5" t="s">
        <v>196</v>
      </c>
      <c r="I5" t="s">
        <v>197</v>
      </c>
      <c r="J5" t="s">
        <v>206</v>
      </c>
      <c r="K5">
        <v>288</v>
      </c>
      <c r="L5" s="36">
        <v>43818</v>
      </c>
      <c r="M5">
        <v>10.08</v>
      </c>
      <c r="N5">
        <v>10.35</v>
      </c>
      <c r="O5">
        <f t="shared" si="0"/>
        <v>20.43</v>
      </c>
    </row>
    <row r="6" spans="1:15" hidden="1">
      <c r="A6" t="s">
        <v>209</v>
      </c>
      <c r="B6" t="s">
        <v>210</v>
      </c>
      <c r="C6" t="s">
        <v>211</v>
      </c>
      <c r="D6" t="s">
        <v>192</v>
      </c>
      <c r="E6" t="s">
        <v>193</v>
      </c>
      <c r="F6" t="s">
        <v>201</v>
      </c>
      <c r="G6" t="s">
        <v>212</v>
      </c>
      <c r="H6" t="s">
        <v>196</v>
      </c>
      <c r="I6" t="s">
        <v>197</v>
      </c>
      <c r="J6" t="s">
        <v>213</v>
      </c>
      <c r="K6">
        <v>0</v>
      </c>
      <c r="L6" s="36">
        <v>43826</v>
      </c>
      <c r="M6">
        <v>0</v>
      </c>
      <c r="N6">
        <v>0</v>
      </c>
      <c r="O6">
        <f t="shared" si="0"/>
        <v>0</v>
      </c>
    </row>
    <row r="7" spans="1:15" hidden="1">
      <c r="A7" t="s">
        <v>214</v>
      </c>
      <c r="B7" t="s">
        <v>215</v>
      </c>
      <c r="C7" t="s">
        <v>211</v>
      </c>
      <c r="D7" t="s">
        <v>192</v>
      </c>
      <c r="E7" t="s">
        <v>193</v>
      </c>
      <c r="F7" t="s">
        <v>201</v>
      </c>
      <c r="G7" t="s">
        <v>202</v>
      </c>
      <c r="H7" t="s">
        <v>196</v>
      </c>
      <c r="I7" t="s">
        <v>197</v>
      </c>
      <c r="J7" t="s">
        <v>213</v>
      </c>
      <c r="K7">
        <v>0</v>
      </c>
      <c r="L7" s="36">
        <v>43826</v>
      </c>
      <c r="M7">
        <v>0</v>
      </c>
      <c r="N7">
        <v>0</v>
      </c>
      <c r="O7">
        <f t="shared" si="0"/>
        <v>0</v>
      </c>
    </row>
    <row r="8" spans="1:15" hidden="1">
      <c r="A8" t="s">
        <v>216</v>
      </c>
      <c r="B8" t="s">
        <v>217</v>
      </c>
      <c r="C8" t="s">
        <v>191</v>
      </c>
      <c r="D8" t="s">
        <v>192</v>
      </c>
      <c r="E8" t="s">
        <v>193</v>
      </c>
      <c r="F8" t="s">
        <v>201</v>
      </c>
      <c r="G8" t="s">
        <v>212</v>
      </c>
      <c r="H8" t="s">
        <v>196</v>
      </c>
      <c r="I8" t="s">
        <v>197</v>
      </c>
      <c r="J8" t="s">
        <v>203</v>
      </c>
      <c r="K8">
        <v>10</v>
      </c>
      <c r="L8" s="36">
        <v>43834</v>
      </c>
      <c r="M8">
        <v>9.18</v>
      </c>
      <c r="N8">
        <v>0.09</v>
      </c>
      <c r="O8">
        <f t="shared" si="0"/>
        <v>9.27</v>
      </c>
    </row>
    <row r="9" spans="1:15" hidden="1">
      <c r="A9" t="s">
        <v>218</v>
      </c>
      <c r="B9" t="s">
        <v>219</v>
      </c>
      <c r="C9" t="s">
        <v>191</v>
      </c>
      <c r="D9" t="s">
        <v>192</v>
      </c>
      <c r="E9" t="s">
        <v>193</v>
      </c>
      <c r="F9" t="s">
        <v>201</v>
      </c>
      <c r="G9" t="s">
        <v>202</v>
      </c>
      <c r="H9" t="s">
        <v>196</v>
      </c>
      <c r="I9" t="s">
        <v>197</v>
      </c>
      <c r="J9" t="s">
        <v>206</v>
      </c>
      <c r="K9">
        <v>365</v>
      </c>
      <c r="L9" s="36">
        <v>43899</v>
      </c>
      <c r="M9">
        <v>2.9</v>
      </c>
      <c r="N9">
        <v>11.46</v>
      </c>
      <c r="O9">
        <f t="shared" si="0"/>
        <v>14.360000000000001</v>
      </c>
    </row>
    <row r="10" spans="1:15" hidden="1">
      <c r="A10" t="s">
        <v>220</v>
      </c>
      <c r="B10" t="s">
        <v>221</v>
      </c>
      <c r="C10" t="s">
        <v>211</v>
      </c>
      <c r="D10" t="s">
        <v>192</v>
      </c>
      <c r="E10" t="s">
        <v>193</v>
      </c>
      <c r="F10" t="s">
        <v>201</v>
      </c>
      <c r="G10" t="s">
        <v>212</v>
      </c>
      <c r="H10" t="s">
        <v>196</v>
      </c>
      <c r="I10" t="s">
        <v>197</v>
      </c>
      <c r="J10" t="s">
        <v>213</v>
      </c>
      <c r="K10">
        <v>0</v>
      </c>
      <c r="L10" s="36">
        <v>43826</v>
      </c>
      <c r="M10">
        <v>0</v>
      </c>
      <c r="N10">
        <v>0</v>
      </c>
      <c r="O10">
        <f t="shared" si="0"/>
        <v>0</v>
      </c>
    </row>
    <row r="11" spans="1:15" hidden="1">
      <c r="A11" t="s">
        <v>222</v>
      </c>
      <c r="B11" t="s">
        <v>223</v>
      </c>
      <c r="C11" t="s">
        <v>211</v>
      </c>
      <c r="D11" t="s">
        <v>192</v>
      </c>
      <c r="E11" t="s">
        <v>193</v>
      </c>
      <c r="F11" t="s">
        <v>201</v>
      </c>
      <c r="G11" t="s">
        <v>202</v>
      </c>
      <c r="H11" t="s">
        <v>196</v>
      </c>
      <c r="I11" t="s">
        <v>197</v>
      </c>
      <c r="J11" t="s">
        <v>213</v>
      </c>
      <c r="K11">
        <v>0</v>
      </c>
      <c r="L11" s="36">
        <v>43826</v>
      </c>
      <c r="M11">
        <v>0</v>
      </c>
      <c r="N11">
        <v>0</v>
      </c>
      <c r="O11">
        <f t="shared" si="0"/>
        <v>0</v>
      </c>
    </row>
    <row r="12" spans="1:15" hidden="1">
      <c r="A12" t="s">
        <v>224</v>
      </c>
      <c r="B12" t="s">
        <v>225</v>
      </c>
      <c r="C12" t="s">
        <v>191</v>
      </c>
      <c r="D12" t="s">
        <v>192</v>
      </c>
      <c r="E12" t="s">
        <v>193</v>
      </c>
      <c r="F12" t="s">
        <v>201</v>
      </c>
      <c r="G12" t="s">
        <v>202</v>
      </c>
      <c r="H12" t="s">
        <v>196</v>
      </c>
      <c r="I12" t="s">
        <v>197</v>
      </c>
      <c r="J12" t="s">
        <v>206</v>
      </c>
      <c r="K12">
        <v>23</v>
      </c>
      <c r="L12" s="36">
        <v>43907</v>
      </c>
      <c r="M12">
        <v>12.69</v>
      </c>
      <c r="N12">
        <v>5.12</v>
      </c>
      <c r="O12">
        <f t="shared" si="0"/>
        <v>17.809999999999999</v>
      </c>
    </row>
    <row r="13" spans="1:15" hidden="1">
      <c r="A13" t="s">
        <v>226</v>
      </c>
      <c r="B13" t="s">
        <v>227</v>
      </c>
      <c r="C13" t="s">
        <v>191</v>
      </c>
      <c r="D13" t="s">
        <v>192</v>
      </c>
      <c r="E13" t="s">
        <v>193</v>
      </c>
      <c r="F13" t="s">
        <v>201</v>
      </c>
      <c r="G13" t="s">
        <v>202</v>
      </c>
      <c r="H13" t="s">
        <v>196</v>
      </c>
      <c r="I13" t="s">
        <v>197</v>
      </c>
      <c r="J13" t="s">
        <v>206</v>
      </c>
      <c r="K13">
        <v>467</v>
      </c>
      <c r="L13" s="36">
        <v>43900</v>
      </c>
      <c r="M13">
        <v>1.3</v>
      </c>
      <c r="N13">
        <v>4.54</v>
      </c>
      <c r="O13">
        <f t="shared" si="0"/>
        <v>5.84</v>
      </c>
    </row>
    <row r="14" spans="1:15" hidden="1">
      <c r="A14" t="s">
        <v>228</v>
      </c>
      <c r="B14" t="s">
        <v>229</v>
      </c>
      <c r="C14" t="s">
        <v>191</v>
      </c>
      <c r="D14" t="s">
        <v>192</v>
      </c>
      <c r="E14" t="s">
        <v>193</v>
      </c>
      <c r="F14" t="s">
        <v>201</v>
      </c>
      <c r="G14" t="s">
        <v>212</v>
      </c>
      <c r="H14" t="s">
        <v>196</v>
      </c>
      <c r="I14" t="s">
        <v>197</v>
      </c>
      <c r="J14" t="s">
        <v>203</v>
      </c>
      <c r="K14">
        <v>3220</v>
      </c>
      <c r="L14" s="36">
        <v>43828</v>
      </c>
      <c r="M14">
        <v>0.32</v>
      </c>
      <c r="N14">
        <v>1.94</v>
      </c>
      <c r="O14">
        <f t="shared" si="0"/>
        <v>2.2599999999999998</v>
      </c>
    </row>
    <row r="15" spans="1:15" hidden="1">
      <c r="A15" t="s">
        <v>230</v>
      </c>
      <c r="B15" t="s">
        <v>231</v>
      </c>
      <c r="C15" t="s">
        <v>232</v>
      </c>
      <c r="D15" t="s">
        <v>192</v>
      </c>
      <c r="E15" t="s">
        <v>193</v>
      </c>
      <c r="F15" t="s">
        <v>201</v>
      </c>
      <c r="G15" t="s">
        <v>233</v>
      </c>
      <c r="H15" t="s">
        <v>196</v>
      </c>
      <c r="I15" t="s">
        <v>197</v>
      </c>
      <c r="J15" t="s">
        <v>234</v>
      </c>
      <c r="K15">
        <v>110.75</v>
      </c>
      <c r="L15" s="36">
        <v>43851</v>
      </c>
      <c r="M15">
        <v>17.41</v>
      </c>
      <c r="N15">
        <v>0.88</v>
      </c>
      <c r="O15">
        <f t="shared" si="0"/>
        <v>18.29</v>
      </c>
    </row>
    <row r="16" spans="1:15" hidden="1">
      <c r="A16" t="s">
        <v>235</v>
      </c>
      <c r="B16" t="s">
        <v>236</v>
      </c>
      <c r="C16" t="s">
        <v>191</v>
      </c>
      <c r="D16" t="s">
        <v>192</v>
      </c>
      <c r="E16" t="s">
        <v>193</v>
      </c>
      <c r="F16" t="s">
        <v>201</v>
      </c>
      <c r="G16" t="s">
        <v>202</v>
      </c>
      <c r="H16" t="s">
        <v>196</v>
      </c>
      <c r="I16" t="s">
        <v>197</v>
      </c>
      <c r="J16" t="s">
        <v>206</v>
      </c>
      <c r="K16">
        <v>1652</v>
      </c>
      <c r="L16" s="36">
        <v>43901</v>
      </c>
      <c r="M16">
        <v>1.68</v>
      </c>
      <c r="N16">
        <v>3.88</v>
      </c>
      <c r="O16">
        <f t="shared" si="0"/>
        <v>5.56</v>
      </c>
    </row>
    <row r="17" spans="1:15" hidden="1">
      <c r="A17" t="s">
        <v>237</v>
      </c>
      <c r="B17" t="s">
        <v>238</v>
      </c>
      <c r="C17" t="s">
        <v>191</v>
      </c>
      <c r="D17" t="s">
        <v>192</v>
      </c>
      <c r="E17" t="s">
        <v>193</v>
      </c>
      <c r="F17" t="s">
        <v>201</v>
      </c>
      <c r="G17" t="s">
        <v>202</v>
      </c>
      <c r="H17" t="s">
        <v>196</v>
      </c>
      <c r="I17" t="s">
        <v>197</v>
      </c>
      <c r="J17" t="s">
        <v>206</v>
      </c>
      <c r="K17">
        <v>10</v>
      </c>
      <c r="L17" s="36">
        <v>43857</v>
      </c>
      <c r="M17">
        <v>1.39</v>
      </c>
      <c r="N17">
        <v>2.58</v>
      </c>
      <c r="O17">
        <f t="shared" si="0"/>
        <v>3.9699999999999998</v>
      </c>
    </row>
    <row r="18" spans="1:15" hidden="1">
      <c r="A18" t="s">
        <v>239</v>
      </c>
      <c r="B18" t="s">
        <v>240</v>
      </c>
      <c r="C18" t="s">
        <v>211</v>
      </c>
      <c r="D18" t="s">
        <v>192</v>
      </c>
      <c r="E18" t="s">
        <v>193</v>
      </c>
      <c r="F18" t="s">
        <v>201</v>
      </c>
      <c r="G18" t="s">
        <v>202</v>
      </c>
      <c r="H18" t="s">
        <v>196</v>
      </c>
      <c r="I18" t="s">
        <v>197</v>
      </c>
      <c r="J18" t="s">
        <v>213</v>
      </c>
      <c r="K18">
        <v>0</v>
      </c>
      <c r="L18" s="36">
        <v>43826</v>
      </c>
      <c r="M18">
        <v>0</v>
      </c>
      <c r="N18">
        <v>0</v>
      </c>
      <c r="O18">
        <f t="shared" si="0"/>
        <v>0</v>
      </c>
    </row>
    <row r="19" spans="1:15" hidden="1">
      <c r="A19" t="s">
        <v>241</v>
      </c>
      <c r="B19" t="s">
        <v>242</v>
      </c>
      <c r="C19" t="s">
        <v>191</v>
      </c>
      <c r="D19" t="s">
        <v>192</v>
      </c>
      <c r="E19" t="s">
        <v>193</v>
      </c>
      <c r="F19" t="s">
        <v>201</v>
      </c>
      <c r="G19" t="s">
        <v>202</v>
      </c>
      <c r="H19" t="s">
        <v>196</v>
      </c>
      <c r="I19" t="s">
        <v>197</v>
      </c>
      <c r="J19" t="s">
        <v>206</v>
      </c>
      <c r="K19">
        <v>177</v>
      </c>
      <c r="L19" s="36">
        <v>43897</v>
      </c>
      <c r="M19">
        <v>5.96</v>
      </c>
      <c r="N19">
        <v>4.97</v>
      </c>
      <c r="O19">
        <f t="shared" si="0"/>
        <v>10.93</v>
      </c>
    </row>
    <row r="20" spans="1:15" hidden="1">
      <c r="A20" t="s">
        <v>243</v>
      </c>
      <c r="B20" t="s">
        <v>244</v>
      </c>
      <c r="C20" t="s">
        <v>191</v>
      </c>
      <c r="D20" t="s">
        <v>192</v>
      </c>
      <c r="E20" t="s">
        <v>193</v>
      </c>
      <c r="F20" t="s">
        <v>201</v>
      </c>
      <c r="G20" t="s">
        <v>212</v>
      </c>
      <c r="H20" t="s">
        <v>196</v>
      </c>
      <c r="I20" t="s">
        <v>197</v>
      </c>
      <c r="J20" t="s">
        <v>203</v>
      </c>
      <c r="K20">
        <v>166</v>
      </c>
      <c r="L20" s="36">
        <v>43789</v>
      </c>
      <c r="M20">
        <v>0.28000000000000003</v>
      </c>
      <c r="N20">
        <v>0.8</v>
      </c>
      <c r="O20">
        <f t="shared" si="0"/>
        <v>1.08</v>
      </c>
    </row>
    <row r="21" spans="1:15" hidden="1">
      <c r="A21" t="s">
        <v>245</v>
      </c>
      <c r="B21" t="s">
        <v>246</v>
      </c>
      <c r="C21" t="s">
        <v>191</v>
      </c>
      <c r="D21" t="s">
        <v>192</v>
      </c>
      <c r="E21" t="s">
        <v>193</v>
      </c>
      <c r="F21" t="s">
        <v>201</v>
      </c>
      <c r="G21" t="s">
        <v>202</v>
      </c>
      <c r="H21" t="s">
        <v>196</v>
      </c>
      <c r="I21" t="s">
        <v>197</v>
      </c>
      <c r="J21" t="s">
        <v>206</v>
      </c>
      <c r="K21">
        <v>204.6</v>
      </c>
      <c r="L21" s="36">
        <v>43908</v>
      </c>
      <c r="M21">
        <v>26.23</v>
      </c>
      <c r="N21">
        <v>11.51</v>
      </c>
      <c r="O21">
        <f t="shared" si="0"/>
        <v>37.74</v>
      </c>
    </row>
    <row r="22" spans="1:15" hidden="1">
      <c r="A22" t="s">
        <v>247</v>
      </c>
      <c r="B22" t="s">
        <v>248</v>
      </c>
      <c r="C22" t="s">
        <v>211</v>
      </c>
      <c r="D22" t="s">
        <v>192</v>
      </c>
      <c r="E22" t="s">
        <v>193</v>
      </c>
      <c r="F22" t="s">
        <v>201</v>
      </c>
      <c r="G22" t="s">
        <v>202</v>
      </c>
      <c r="H22" t="s">
        <v>196</v>
      </c>
      <c r="I22" t="s">
        <v>197</v>
      </c>
      <c r="J22" t="s">
        <v>213</v>
      </c>
      <c r="K22">
        <v>0</v>
      </c>
      <c r="L22" s="36">
        <v>43826</v>
      </c>
      <c r="M22">
        <v>0</v>
      </c>
      <c r="N22">
        <v>0</v>
      </c>
      <c r="O22">
        <f t="shared" si="0"/>
        <v>0</v>
      </c>
    </row>
    <row r="23" spans="1:15" hidden="1">
      <c r="A23" t="s">
        <v>249</v>
      </c>
      <c r="B23" t="s">
        <v>250</v>
      </c>
      <c r="C23" t="s">
        <v>191</v>
      </c>
      <c r="D23" t="s">
        <v>192</v>
      </c>
      <c r="E23" t="s">
        <v>193</v>
      </c>
      <c r="F23" t="s">
        <v>201</v>
      </c>
      <c r="G23" t="s">
        <v>202</v>
      </c>
      <c r="H23" t="s">
        <v>196</v>
      </c>
      <c r="I23" t="s">
        <v>197</v>
      </c>
      <c r="J23" t="s">
        <v>206</v>
      </c>
      <c r="K23">
        <v>199</v>
      </c>
      <c r="L23" s="36">
        <v>43863</v>
      </c>
      <c r="M23">
        <v>25.98</v>
      </c>
      <c r="N23">
        <v>3.96</v>
      </c>
      <c r="O23">
        <f t="shared" si="0"/>
        <v>29.94</v>
      </c>
    </row>
    <row r="24" spans="1:15" hidden="1">
      <c r="A24" t="s">
        <v>251</v>
      </c>
      <c r="B24" t="s">
        <v>252</v>
      </c>
      <c r="C24" t="s">
        <v>211</v>
      </c>
      <c r="D24" t="s">
        <v>192</v>
      </c>
      <c r="E24" t="s">
        <v>193</v>
      </c>
      <c r="F24" t="s">
        <v>201</v>
      </c>
      <c r="G24" t="s">
        <v>212</v>
      </c>
      <c r="H24" t="s">
        <v>196</v>
      </c>
      <c r="I24" t="s">
        <v>197</v>
      </c>
      <c r="J24" t="s">
        <v>213</v>
      </c>
      <c r="K24">
        <v>0</v>
      </c>
      <c r="L24" s="36">
        <v>43826</v>
      </c>
      <c r="M24">
        <v>0</v>
      </c>
      <c r="N24">
        <v>0</v>
      </c>
      <c r="O24">
        <f t="shared" si="0"/>
        <v>0</v>
      </c>
    </row>
    <row r="25" spans="1:15" hidden="1">
      <c r="A25" t="s">
        <v>253</v>
      </c>
      <c r="B25" t="s">
        <v>254</v>
      </c>
      <c r="C25" t="s">
        <v>191</v>
      </c>
      <c r="D25" t="s">
        <v>192</v>
      </c>
      <c r="E25" t="s">
        <v>193</v>
      </c>
      <c r="F25" t="s">
        <v>201</v>
      </c>
      <c r="G25" t="s">
        <v>212</v>
      </c>
      <c r="H25" t="s">
        <v>196</v>
      </c>
      <c r="I25" t="s">
        <v>197</v>
      </c>
      <c r="J25" t="s">
        <v>203</v>
      </c>
      <c r="K25">
        <v>589.69000000000005</v>
      </c>
      <c r="L25" s="36">
        <v>43808</v>
      </c>
      <c r="M25">
        <v>0.56000000000000005</v>
      </c>
      <c r="N25">
        <v>5</v>
      </c>
      <c r="O25">
        <f t="shared" si="0"/>
        <v>5.5600000000000005</v>
      </c>
    </row>
    <row r="26" spans="1:15" hidden="1">
      <c r="A26" t="s">
        <v>255</v>
      </c>
      <c r="B26" t="s">
        <v>256</v>
      </c>
      <c r="C26" t="s">
        <v>211</v>
      </c>
      <c r="D26" t="s">
        <v>192</v>
      </c>
      <c r="E26" t="s">
        <v>193</v>
      </c>
      <c r="F26" t="s">
        <v>201</v>
      </c>
      <c r="G26" t="s">
        <v>212</v>
      </c>
      <c r="H26" t="s">
        <v>196</v>
      </c>
      <c r="I26" t="s">
        <v>197</v>
      </c>
      <c r="J26" t="s">
        <v>213</v>
      </c>
      <c r="K26">
        <v>0</v>
      </c>
      <c r="L26" s="36">
        <v>43826</v>
      </c>
      <c r="M26">
        <v>0</v>
      </c>
      <c r="N26">
        <v>0</v>
      </c>
      <c r="O26">
        <f t="shared" si="0"/>
        <v>0</v>
      </c>
    </row>
    <row r="27" spans="1:15" hidden="1">
      <c r="A27" t="s">
        <v>257</v>
      </c>
      <c r="B27" t="s">
        <v>258</v>
      </c>
      <c r="C27" t="s">
        <v>211</v>
      </c>
      <c r="D27" t="s">
        <v>192</v>
      </c>
      <c r="E27" t="s">
        <v>193</v>
      </c>
      <c r="F27" t="s">
        <v>201</v>
      </c>
      <c r="G27" t="s">
        <v>202</v>
      </c>
      <c r="H27" t="s">
        <v>196</v>
      </c>
      <c r="I27" t="s">
        <v>197</v>
      </c>
      <c r="J27" t="s">
        <v>213</v>
      </c>
      <c r="K27">
        <v>0</v>
      </c>
      <c r="L27" s="36">
        <v>43826</v>
      </c>
      <c r="M27">
        <v>0</v>
      </c>
      <c r="N27">
        <v>0</v>
      </c>
      <c r="O27">
        <f t="shared" si="0"/>
        <v>0</v>
      </c>
    </row>
    <row r="28" spans="1:15" hidden="1">
      <c r="A28" t="s">
        <v>259</v>
      </c>
      <c r="B28" t="s">
        <v>260</v>
      </c>
      <c r="C28" t="s">
        <v>191</v>
      </c>
      <c r="D28" t="s">
        <v>192</v>
      </c>
      <c r="E28" t="s">
        <v>193</v>
      </c>
      <c r="F28" t="s">
        <v>201</v>
      </c>
      <c r="G28" t="s">
        <v>212</v>
      </c>
      <c r="H28" t="s">
        <v>196</v>
      </c>
      <c r="I28" t="s">
        <v>197</v>
      </c>
      <c r="J28" t="s">
        <v>203</v>
      </c>
      <c r="K28">
        <v>273</v>
      </c>
      <c r="L28" s="36">
        <v>43815</v>
      </c>
      <c r="M28">
        <v>5.83</v>
      </c>
      <c r="N28">
        <v>0.73</v>
      </c>
      <c r="O28">
        <f t="shared" si="0"/>
        <v>6.5600000000000005</v>
      </c>
    </row>
    <row r="29" spans="1:15" hidden="1">
      <c r="A29" t="s">
        <v>261</v>
      </c>
      <c r="B29" t="s">
        <v>262</v>
      </c>
      <c r="C29" t="s">
        <v>211</v>
      </c>
      <c r="D29" t="s">
        <v>192</v>
      </c>
      <c r="E29" t="s">
        <v>193</v>
      </c>
      <c r="F29" t="s">
        <v>201</v>
      </c>
      <c r="G29" t="s">
        <v>212</v>
      </c>
      <c r="H29" t="s">
        <v>196</v>
      </c>
      <c r="I29" t="s">
        <v>197</v>
      </c>
      <c r="J29" t="s">
        <v>213</v>
      </c>
      <c r="K29">
        <v>0</v>
      </c>
      <c r="L29" s="36">
        <v>43740</v>
      </c>
      <c r="M29">
        <v>0</v>
      </c>
      <c r="N29">
        <v>0</v>
      </c>
      <c r="O29">
        <f t="shared" si="0"/>
        <v>0</v>
      </c>
    </row>
    <row r="30" spans="1:15" hidden="1">
      <c r="A30" t="s">
        <v>263</v>
      </c>
      <c r="B30" t="s">
        <v>264</v>
      </c>
      <c r="C30" t="s">
        <v>191</v>
      </c>
      <c r="D30" t="s">
        <v>192</v>
      </c>
      <c r="E30" t="s">
        <v>193</v>
      </c>
      <c r="F30" t="s">
        <v>201</v>
      </c>
      <c r="G30" t="s">
        <v>202</v>
      </c>
      <c r="H30" t="s">
        <v>196</v>
      </c>
      <c r="I30" t="s">
        <v>197</v>
      </c>
      <c r="J30" t="s">
        <v>206</v>
      </c>
      <c r="K30">
        <v>100.33</v>
      </c>
      <c r="L30" s="36">
        <v>43848</v>
      </c>
      <c r="M30">
        <v>43.93</v>
      </c>
      <c r="N30">
        <v>4.7</v>
      </c>
      <c r="O30">
        <f t="shared" si="0"/>
        <v>48.63</v>
      </c>
    </row>
    <row r="31" spans="1:15" hidden="1">
      <c r="A31" t="s">
        <v>265</v>
      </c>
      <c r="B31" t="s">
        <v>266</v>
      </c>
      <c r="C31" t="s">
        <v>191</v>
      </c>
      <c r="D31" t="s">
        <v>192</v>
      </c>
      <c r="E31" t="s">
        <v>193</v>
      </c>
      <c r="F31" t="s">
        <v>201</v>
      </c>
      <c r="G31" t="s">
        <v>212</v>
      </c>
      <c r="H31" t="s">
        <v>196</v>
      </c>
      <c r="I31" t="s">
        <v>197</v>
      </c>
      <c r="J31" t="s">
        <v>203</v>
      </c>
      <c r="K31">
        <v>345.9</v>
      </c>
      <c r="L31" s="36">
        <v>43808</v>
      </c>
      <c r="M31">
        <v>1.43</v>
      </c>
      <c r="N31">
        <v>0.24</v>
      </c>
      <c r="O31">
        <f t="shared" si="0"/>
        <v>1.67</v>
      </c>
    </row>
    <row r="32" spans="1:15" hidden="1">
      <c r="A32" t="s">
        <v>267</v>
      </c>
      <c r="B32" t="s">
        <v>268</v>
      </c>
      <c r="C32" t="s">
        <v>269</v>
      </c>
      <c r="D32" t="s">
        <v>192</v>
      </c>
      <c r="E32" t="s">
        <v>193</v>
      </c>
      <c r="F32" t="s">
        <v>201</v>
      </c>
      <c r="G32" t="s">
        <v>233</v>
      </c>
      <c r="H32" t="s">
        <v>196</v>
      </c>
      <c r="I32" t="s">
        <v>197</v>
      </c>
      <c r="J32" t="s">
        <v>234</v>
      </c>
      <c r="K32">
        <v>223.3</v>
      </c>
      <c r="L32" s="36">
        <v>43874</v>
      </c>
      <c r="M32">
        <v>98.01</v>
      </c>
      <c r="N32">
        <v>0.1</v>
      </c>
      <c r="O32">
        <f t="shared" si="0"/>
        <v>98.11</v>
      </c>
    </row>
    <row r="33" spans="1:15" hidden="1">
      <c r="A33" t="s">
        <v>270</v>
      </c>
      <c r="B33" t="s">
        <v>271</v>
      </c>
      <c r="C33" t="s">
        <v>272</v>
      </c>
      <c r="D33" t="s">
        <v>192</v>
      </c>
      <c r="E33" t="s">
        <v>193</v>
      </c>
      <c r="F33" t="s">
        <v>201</v>
      </c>
      <c r="G33" t="s">
        <v>202</v>
      </c>
      <c r="H33" t="s">
        <v>196</v>
      </c>
      <c r="I33" t="s">
        <v>197</v>
      </c>
      <c r="J33" t="s">
        <v>206</v>
      </c>
      <c r="K33">
        <v>3783</v>
      </c>
      <c r="L33" s="36">
        <v>43882</v>
      </c>
      <c r="M33">
        <v>0.94</v>
      </c>
      <c r="N33">
        <v>1.65</v>
      </c>
      <c r="O33">
        <f t="shared" si="0"/>
        <v>2.59</v>
      </c>
    </row>
    <row r="34" spans="1:15" hidden="1">
      <c r="A34" t="s">
        <v>273</v>
      </c>
      <c r="B34" t="s">
        <v>274</v>
      </c>
      <c r="C34" t="s">
        <v>211</v>
      </c>
      <c r="D34" t="s">
        <v>192</v>
      </c>
      <c r="E34" t="s">
        <v>193</v>
      </c>
      <c r="F34" t="s">
        <v>201</v>
      </c>
      <c r="G34" t="s">
        <v>202</v>
      </c>
      <c r="H34" t="s">
        <v>196</v>
      </c>
      <c r="I34" t="s">
        <v>197</v>
      </c>
      <c r="J34" t="s">
        <v>213</v>
      </c>
      <c r="K34">
        <v>0</v>
      </c>
      <c r="L34" s="36">
        <v>43826</v>
      </c>
      <c r="M34">
        <v>0</v>
      </c>
      <c r="N34">
        <v>0</v>
      </c>
      <c r="O34">
        <f t="shared" si="0"/>
        <v>0</v>
      </c>
    </row>
    <row r="35" spans="1:15" hidden="1">
      <c r="A35" t="s">
        <v>275</v>
      </c>
      <c r="B35" t="s">
        <v>276</v>
      </c>
      <c r="C35" t="s">
        <v>191</v>
      </c>
      <c r="D35" t="s">
        <v>192</v>
      </c>
      <c r="E35" t="s">
        <v>193</v>
      </c>
      <c r="F35" t="s">
        <v>201</v>
      </c>
      <c r="G35" t="s">
        <v>212</v>
      </c>
      <c r="H35" t="s">
        <v>196</v>
      </c>
      <c r="I35" t="s">
        <v>197</v>
      </c>
      <c r="J35" t="s">
        <v>203</v>
      </c>
      <c r="K35">
        <v>614.08000000000004</v>
      </c>
      <c r="L35" s="36">
        <v>43808</v>
      </c>
      <c r="M35">
        <v>6.32</v>
      </c>
      <c r="N35">
        <v>0.95</v>
      </c>
      <c r="O35">
        <f t="shared" si="0"/>
        <v>7.2700000000000005</v>
      </c>
    </row>
    <row r="36" spans="1:15" hidden="1">
      <c r="A36" t="s">
        <v>277</v>
      </c>
      <c r="B36" t="s">
        <v>278</v>
      </c>
      <c r="C36" t="s">
        <v>211</v>
      </c>
      <c r="D36" t="s">
        <v>192</v>
      </c>
      <c r="E36" t="s">
        <v>193</v>
      </c>
      <c r="F36" t="s">
        <v>201</v>
      </c>
      <c r="G36" t="s">
        <v>202</v>
      </c>
      <c r="H36" t="s">
        <v>196</v>
      </c>
      <c r="I36" t="s">
        <v>197</v>
      </c>
      <c r="J36" t="s">
        <v>213</v>
      </c>
      <c r="K36">
        <v>0</v>
      </c>
      <c r="L36" s="36">
        <v>43826</v>
      </c>
      <c r="M36">
        <v>0</v>
      </c>
      <c r="N36">
        <v>0</v>
      </c>
      <c r="O36">
        <f t="shared" si="0"/>
        <v>0</v>
      </c>
    </row>
    <row r="37" spans="1:15" hidden="1">
      <c r="A37" t="s">
        <v>279</v>
      </c>
      <c r="B37" t="s">
        <v>280</v>
      </c>
      <c r="C37" t="s">
        <v>232</v>
      </c>
      <c r="D37" t="s">
        <v>192</v>
      </c>
      <c r="E37" t="s">
        <v>193</v>
      </c>
      <c r="F37" t="s">
        <v>201</v>
      </c>
      <c r="G37" t="s">
        <v>233</v>
      </c>
      <c r="H37" t="s">
        <v>196</v>
      </c>
      <c r="I37" t="s">
        <v>197</v>
      </c>
      <c r="J37" t="s">
        <v>234</v>
      </c>
      <c r="K37">
        <v>574.39</v>
      </c>
      <c r="L37" s="36">
        <v>43854</v>
      </c>
      <c r="M37">
        <v>13.5</v>
      </c>
      <c r="N37">
        <v>1.74</v>
      </c>
      <c r="O37">
        <f t="shared" si="0"/>
        <v>15.24</v>
      </c>
    </row>
    <row r="38" spans="1:15" hidden="1">
      <c r="A38" t="s">
        <v>281</v>
      </c>
      <c r="B38" t="s">
        <v>34</v>
      </c>
      <c r="C38" t="s">
        <v>232</v>
      </c>
      <c r="D38" t="s">
        <v>192</v>
      </c>
      <c r="E38" t="s">
        <v>193</v>
      </c>
      <c r="F38" t="s">
        <v>201</v>
      </c>
      <c r="G38" t="s">
        <v>233</v>
      </c>
      <c r="H38" t="s">
        <v>196</v>
      </c>
      <c r="I38" t="s">
        <v>197</v>
      </c>
      <c r="J38" t="s">
        <v>234</v>
      </c>
      <c r="K38">
        <v>125.22</v>
      </c>
      <c r="L38" s="36">
        <v>43901</v>
      </c>
      <c r="M38">
        <v>3.91</v>
      </c>
      <c r="N38">
        <v>3.39</v>
      </c>
      <c r="O38">
        <f t="shared" si="0"/>
        <v>7.3000000000000007</v>
      </c>
    </row>
    <row r="39" spans="1:15" hidden="1">
      <c r="A39" t="s">
        <v>282</v>
      </c>
      <c r="B39" t="s">
        <v>283</v>
      </c>
      <c r="C39" t="s">
        <v>191</v>
      </c>
      <c r="D39" t="s">
        <v>192</v>
      </c>
      <c r="E39" t="s">
        <v>193</v>
      </c>
      <c r="F39" t="s">
        <v>201</v>
      </c>
      <c r="G39" t="s">
        <v>202</v>
      </c>
      <c r="H39" t="s">
        <v>196</v>
      </c>
      <c r="I39" t="s">
        <v>197</v>
      </c>
      <c r="J39" t="s">
        <v>206</v>
      </c>
      <c r="K39">
        <v>103</v>
      </c>
      <c r="L39" s="36">
        <v>43851</v>
      </c>
      <c r="M39">
        <v>0.14000000000000001</v>
      </c>
      <c r="N39">
        <v>0.86</v>
      </c>
      <c r="O39">
        <f t="shared" si="0"/>
        <v>1</v>
      </c>
    </row>
    <row r="40" spans="1:15" hidden="1">
      <c r="A40" t="s">
        <v>284</v>
      </c>
      <c r="B40" t="s">
        <v>285</v>
      </c>
      <c r="C40" t="s">
        <v>191</v>
      </c>
      <c r="D40" t="s">
        <v>192</v>
      </c>
      <c r="E40" t="s">
        <v>193</v>
      </c>
      <c r="F40" t="s">
        <v>201</v>
      </c>
      <c r="G40" t="s">
        <v>202</v>
      </c>
      <c r="H40" t="s">
        <v>196</v>
      </c>
      <c r="I40" t="s">
        <v>197</v>
      </c>
      <c r="J40" t="s">
        <v>206</v>
      </c>
      <c r="K40">
        <v>64</v>
      </c>
      <c r="L40" s="36">
        <v>43894</v>
      </c>
      <c r="M40">
        <v>5.1100000000000003</v>
      </c>
      <c r="N40">
        <v>1.97</v>
      </c>
      <c r="O40">
        <f t="shared" si="0"/>
        <v>7.08</v>
      </c>
    </row>
    <row r="41" spans="1:15" hidden="1">
      <c r="A41" t="s">
        <v>286</v>
      </c>
      <c r="B41" t="s">
        <v>287</v>
      </c>
      <c r="C41" t="s">
        <v>191</v>
      </c>
      <c r="D41" t="s">
        <v>192</v>
      </c>
      <c r="E41" t="s">
        <v>193</v>
      </c>
      <c r="F41" t="s">
        <v>201</v>
      </c>
      <c r="G41" t="s">
        <v>202</v>
      </c>
      <c r="H41" t="s">
        <v>196</v>
      </c>
      <c r="I41" t="s">
        <v>197</v>
      </c>
      <c r="J41" t="s">
        <v>206</v>
      </c>
      <c r="K41">
        <v>100</v>
      </c>
      <c r="L41" s="36">
        <v>43897</v>
      </c>
      <c r="M41">
        <v>5.25</v>
      </c>
      <c r="N41">
        <v>3.82</v>
      </c>
      <c r="O41">
        <f t="shared" si="0"/>
        <v>9.07</v>
      </c>
    </row>
    <row r="42" spans="1:15" hidden="1">
      <c r="A42" t="s">
        <v>288</v>
      </c>
      <c r="B42" t="s">
        <v>289</v>
      </c>
      <c r="C42" t="s">
        <v>191</v>
      </c>
      <c r="D42" t="s">
        <v>192</v>
      </c>
      <c r="E42" t="s">
        <v>193</v>
      </c>
      <c r="F42" t="s">
        <v>201</v>
      </c>
      <c r="G42" t="s">
        <v>202</v>
      </c>
      <c r="H42" t="s">
        <v>196</v>
      </c>
      <c r="I42" t="s">
        <v>197</v>
      </c>
      <c r="J42" t="s">
        <v>206</v>
      </c>
      <c r="K42">
        <v>120.5</v>
      </c>
      <c r="L42" s="36">
        <v>43879</v>
      </c>
      <c r="M42">
        <v>24.53</v>
      </c>
      <c r="N42">
        <v>2.63</v>
      </c>
      <c r="O42">
        <f t="shared" si="0"/>
        <v>27.16</v>
      </c>
    </row>
    <row r="43" spans="1:15" hidden="1">
      <c r="A43" t="s">
        <v>290</v>
      </c>
      <c r="B43" t="s">
        <v>291</v>
      </c>
      <c r="C43" t="s">
        <v>211</v>
      </c>
      <c r="D43" t="s">
        <v>192</v>
      </c>
      <c r="E43" t="s">
        <v>193</v>
      </c>
      <c r="F43" t="s">
        <v>201</v>
      </c>
      <c r="G43" t="s">
        <v>202</v>
      </c>
      <c r="H43" t="s">
        <v>196</v>
      </c>
      <c r="I43" t="s">
        <v>197</v>
      </c>
      <c r="J43" t="s">
        <v>213</v>
      </c>
      <c r="K43">
        <v>0</v>
      </c>
      <c r="L43" s="36">
        <v>43826</v>
      </c>
      <c r="M43">
        <v>0</v>
      </c>
      <c r="N43">
        <v>0</v>
      </c>
      <c r="O43">
        <f t="shared" si="0"/>
        <v>0</v>
      </c>
    </row>
    <row r="44" spans="1:15" hidden="1">
      <c r="A44" t="s">
        <v>292</v>
      </c>
      <c r="B44" t="s">
        <v>293</v>
      </c>
      <c r="C44" t="s">
        <v>232</v>
      </c>
      <c r="D44" t="s">
        <v>192</v>
      </c>
      <c r="E44" t="s">
        <v>193</v>
      </c>
      <c r="F44" t="s">
        <v>201</v>
      </c>
      <c r="G44" t="s">
        <v>212</v>
      </c>
      <c r="H44" t="s">
        <v>196</v>
      </c>
      <c r="I44" t="s">
        <v>197</v>
      </c>
      <c r="J44" t="s">
        <v>203</v>
      </c>
      <c r="K44">
        <v>199</v>
      </c>
      <c r="L44" s="36">
        <v>43801</v>
      </c>
      <c r="M44">
        <v>12.51</v>
      </c>
      <c r="N44">
        <v>1.2</v>
      </c>
      <c r="O44">
        <f t="shared" si="0"/>
        <v>13.709999999999999</v>
      </c>
    </row>
    <row r="45" spans="1:15" hidden="1">
      <c r="A45" t="s">
        <v>294</v>
      </c>
      <c r="B45" t="s">
        <v>295</v>
      </c>
      <c r="C45" t="s">
        <v>191</v>
      </c>
      <c r="D45" t="s">
        <v>192</v>
      </c>
      <c r="E45" t="s">
        <v>193</v>
      </c>
      <c r="F45" t="s">
        <v>201</v>
      </c>
      <c r="G45" t="s">
        <v>233</v>
      </c>
      <c r="H45" t="s">
        <v>196</v>
      </c>
      <c r="I45" t="s">
        <v>197</v>
      </c>
      <c r="J45" t="s">
        <v>234</v>
      </c>
      <c r="K45">
        <v>483</v>
      </c>
      <c r="L45" s="36">
        <v>43897</v>
      </c>
      <c r="M45">
        <v>2.63</v>
      </c>
      <c r="N45">
        <v>2.39</v>
      </c>
      <c r="O45">
        <f t="shared" si="0"/>
        <v>5.0199999999999996</v>
      </c>
    </row>
    <row r="46" spans="1:15" hidden="1">
      <c r="A46" t="s">
        <v>296</v>
      </c>
      <c r="B46" t="s">
        <v>297</v>
      </c>
      <c r="C46" t="s">
        <v>191</v>
      </c>
      <c r="D46" t="s">
        <v>192</v>
      </c>
      <c r="E46" t="s">
        <v>193</v>
      </c>
      <c r="F46" t="s">
        <v>201</v>
      </c>
      <c r="G46" t="s">
        <v>212</v>
      </c>
      <c r="H46" t="s">
        <v>196</v>
      </c>
      <c r="I46" t="s">
        <v>197</v>
      </c>
      <c r="J46" t="s">
        <v>203</v>
      </c>
      <c r="K46">
        <v>360</v>
      </c>
      <c r="L46" s="36">
        <v>43779</v>
      </c>
      <c r="M46">
        <v>3.9</v>
      </c>
      <c r="N46">
        <v>3.25</v>
      </c>
      <c r="O46">
        <f t="shared" si="0"/>
        <v>7.15</v>
      </c>
    </row>
    <row r="47" spans="1:15" hidden="1">
      <c r="A47" t="s">
        <v>298</v>
      </c>
      <c r="B47" t="s">
        <v>299</v>
      </c>
      <c r="C47" t="s">
        <v>211</v>
      </c>
      <c r="D47" t="s">
        <v>192</v>
      </c>
      <c r="E47" t="s">
        <v>193</v>
      </c>
      <c r="F47" t="s">
        <v>194</v>
      </c>
      <c r="G47" t="s">
        <v>300</v>
      </c>
      <c r="H47" t="s">
        <v>196</v>
      </c>
      <c r="I47" t="s">
        <v>197</v>
      </c>
      <c r="J47" t="s">
        <v>301</v>
      </c>
      <c r="K47">
        <v>0</v>
      </c>
      <c r="L47" s="36">
        <v>43874</v>
      </c>
      <c r="M47">
        <v>0</v>
      </c>
      <c r="N47">
        <v>0</v>
      </c>
      <c r="O47">
        <f t="shared" si="0"/>
        <v>0</v>
      </c>
    </row>
    <row r="48" spans="1:15" hidden="1">
      <c r="A48" t="s">
        <v>302</v>
      </c>
      <c r="B48" t="s">
        <v>303</v>
      </c>
      <c r="C48" t="s">
        <v>211</v>
      </c>
      <c r="D48" t="s">
        <v>192</v>
      </c>
      <c r="E48" t="s">
        <v>193</v>
      </c>
      <c r="F48" t="s">
        <v>194</v>
      </c>
      <c r="G48" t="s">
        <v>300</v>
      </c>
      <c r="H48" t="s">
        <v>196</v>
      </c>
      <c r="I48" t="s">
        <v>197</v>
      </c>
      <c r="J48" t="s">
        <v>301</v>
      </c>
      <c r="K48">
        <v>0</v>
      </c>
      <c r="L48" s="36">
        <v>43874</v>
      </c>
      <c r="M48">
        <v>0</v>
      </c>
      <c r="N48">
        <v>0</v>
      </c>
      <c r="O48">
        <f t="shared" si="0"/>
        <v>0</v>
      </c>
    </row>
    <row r="49" spans="1:15" hidden="1">
      <c r="A49" t="s">
        <v>304</v>
      </c>
      <c r="B49" t="s">
        <v>305</v>
      </c>
      <c r="C49" t="s">
        <v>211</v>
      </c>
      <c r="D49" t="s">
        <v>192</v>
      </c>
      <c r="E49" t="s">
        <v>193</v>
      </c>
      <c r="F49" t="s">
        <v>194</v>
      </c>
      <c r="G49" t="s">
        <v>306</v>
      </c>
      <c r="H49" t="s">
        <v>196</v>
      </c>
      <c r="I49" t="s">
        <v>197</v>
      </c>
      <c r="J49" t="s">
        <v>301</v>
      </c>
      <c r="K49">
        <v>0</v>
      </c>
      <c r="L49" s="36">
        <v>43874</v>
      </c>
      <c r="M49">
        <v>0</v>
      </c>
      <c r="N49">
        <v>0</v>
      </c>
      <c r="O49">
        <f t="shared" si="0"/>
        <v>0</v>
      </c>
    </row>
    <row r="50" spans="1:15" hidden="1">
      <c r="A50" t="s">
        <v>307</v>
      </c>
      <c r="B50" t="s">
        <v>308</v>
      </c>
      <c r="C50" t="s">
        <v>232</v>
      </c>
      <c r="D50" t="s">
        <v>192</v>
      </c>
      <c r="E50" t="s">
        <v>193</v>
      </c>
      <c r="F50" t="s">
        <v>194</v>
      </c>
      <c r="G50" t="s">
        <v>306</v>
      </c>
      <c r="H50" t="s">
        <v>196</v>
      </c>
      <c r="I50" t="s">
        <v>197</v>
      </c>
      <c r="J50" t="s">
        <v>309</v>
      </c>
      <c r="K50">
        <v>5</v>
      </c>
      <c r="L50" s="36">
        <v>43869</v>
      </c>
      <c r="M50">
        <v>162.19</v>
      </c>
      <c r="N50">
        <v>9.35</v>
      </c>
      <c r="O50">
        <f t="shared" si="0"/>
        <v>171.54</v>
      </c>
    </row>
    <row r="51" spans="1:15" hidden="1">
      <c r="A51" t="s">
        <v>310</v>
      </c>
      <c r="B51" t="s">
        <v>311</v>
      </c>
      <c r="C51" t="s">
        <v>232</v>
      </c>
      <c r="D51" t="s">
        <v>192</v>
      </c>
      <c r="E51" t="s">
        <v>193</v>
      </c>
      <c r="F51" t="s">
        <v>194</v>
      </c>
      <c r="G51" t="s">
        <v>306</v>
      </c>
      <c r="H51" t="s">
        <v>196</v>
      </c>
      <c r="I51" t="s">
        <v>197</v>
      </c>
      <c r="J51" t="s">
        <v>309</v>
      </c>
      <c r="K51">
        <v>3</v>
      </c>
      <c r="L51" s="36">
        <v>43885</v>
      </c>
      <c r="M51">
        <v>27.91</v>
      </c>
      <c r="N51">
        <v>5.42</v>
      </c>
      <c r="O51">
        <f t="shared" si="0"/>
        <v>33.33</v>
      </c>
    </row>
    <row r="52" spans="1:15" hidden="1">
      <c r="A52" t="s">
        <v>312</v>
      </c>
      <c r="B52" t="s">
        <v>313</v>
      </c>
      <c r="C52" t="s">
        <v>232</v>
      </c>
      <c r="D52" t="s">
        <v>192</v>
      </c>
      <c r="E52" t="s">
        <v>193</v>
      </c>
      <c r="F52" t="s">
        <v>194</v>
      </c>
      <c r="G52" t="s">
        <v>306</v>
      </c>
      <c r="H52" t="s">
        <v>196</v>
      </c>
      <c r="I52" t="s">
        <v>197</v>
      </c>
      <c r="J52" t="s">
        <v>309</v>
      </c>
      <c r="K52">
        <v>8</v>
      </c>
      <c r="L52" s="36">
        <v>43903</v>
      </c>
      <c r="M52">
        <v>51.41</v>
      </c>
      <c r="N52">
        <v>1.57</v>
      </c>
      <c r="O52">
        <f t="shared" si="0"/>
        <v>52.98</v>
      </c>
    </row>
    <row r="53" spans="1:15" hidden="1">
      <c r="A53" t="s">
        <v>314</v>
      </c>
      <c r="B53" t="s">
        <v>315</v>
      </c>
      <c r="C53" t="s">
        <v>211</v>
      </c>
      <c r="D53" t="s">
        <v>192</v>
      </c>
      <c r="E53" t="s">
        <v>193</v>
      </c>
      <c r="F53" t="s">
        <v>194</v>
      </c>
      <c r="G53" t="s">
        <v>300</v>
      </c>
      <c r="H53" t="s">
        <v>196</v>
      </c>
      <c r="I53" t="s">
        <v>197</v>
      </c>
      <c r="J53" t="s">
        <v>301</v>
      </c>
      <c r="K53">
        <v>0</v>
      </c>
      <c r="L53" s="36">
        <v>43874</v>
      </c>
      <c r="M53">
        <v>0</v>
      </c>
      <c r="N53">
        <v>0</v>
      </c>
      <c r="O53">
        <f t="shared" si="0"/>
        <v>0</v>
      </c>
    </row>
    <row r="54" spans="1:15" hidden="1">
      <c r="A54" t="s">
        <v>316</v>
      </c>
      <c r="B54" t="s">
        <v>317</v>
      </c>
      <c r="C54" t="s">
        <v>211</v>
      </c>
      <c r="D54" t="s">
        <v>192</v>
      </c>
      <c r="E54" t="s">
        <v>193</v>
      </c>
      <c r="F54" t="s">
        <v>194</v>
      </c>
      <c r="G54" t="s">
        <v>300</v>
      </c>
      <c r="H54" t="s">
        <v>196</v>
      </c>
      <c r="I54" t="s">
        <v>197</v>
      </c>
      <c r="J54" t="s">
        <v>301</v>
      </c>
      <c r="K54">
        <v>0</v>
      </c>
      <c r="L54" s="36">
        <v>43874</v>
      </c>
      <c r="M54">
        <v>0</v>
      </c>
      <c r="N54">
        <v>0</v>
      </c>
      <c r="O54">
        <f t="shared" si="0"/>
        <v>0</v>
      </c>
    </row>
    <row r="55" spans="1:15" hidden="1">
      <c r="A55" t="s">
        <v>318</v>
      </c>
      <c r="B55" t="s">
        <v>319</v>
      </c>
      <c r="C55" t="s">
        <v>211</v>
      </c>
      <c r="D55" t="s">
        <v>192</v>
      </c>
      <c r="E55" t="s">
        <v>193</v>
      </c>
      <c r="F55" t="s">
        <v>194</v>
      </c>
      <c r="G55" t="s">
        <v>300</v>
      </c>
      <c r="H55" t="s">
        <v>196</v>
      </c>
      <c r="I55" t="s">
        <v>197</v>
      </c>
      <c r="J55" t="s">
        <v>301</v>
      </c>
      <c r="K55">
        <v>0</v>
      </c>
      <c r="L55" s="36">
        <v>43874</v>
      </c>
      <c r="M55">
        <v>0</v>
      </c>
      <c r="N55">
        <v>0</v>
      </c>
      <c r="O55">
        <f t="shared" si="0"/>
        <v>0</v>
      </c>
    </row>
    <row r="56" spans="1:15" hidden="1">
      <c r="A56" t="s">
        <v>320</v>
      </c>
      <c r="B56" t="s">
        <v>321</v>
      </c>
      <c r="C56" t="s">
        <v>211</v>
      </c>
      <c r="D56" t="s">
        <v>192</v>
      </c>
      <c r="E56" t="s">
        <v>193</v>
      </c>
      <c r="F56" t="s">
        <v>194</v>
      </c>
      <c r="G56" t="s">
        <v>300</v>
      </c>
      <c r="H56" t="s">
        <v>196</v>
      </c>
      <c r="I56" t="s">
        <v>197</v>
      </c>
      <c r="J56" t="s">
        <v>301</v>
      </c>
      <c r="K56">
        <v>0</v>
      </c>
      <c r="L56" s="36">
        <v>43874</v>
      </c>
      <c r="M56">
        <v>0</v>
      </c>
      <c r="N56">
        <v>0</v>
      </c>
      <c r="O56">
        <f t="shared" si="0"/>
        <v>0</v>
      </c>
    </row>
    <row r="57" spans="1:15" hidden="1">
      <c r="A57" t="s">
        <v>322</v>
      </c>
      <c r="B57" t="s">
        <v>323</v>
      </c>
      <c r="C57" t="s">
        <v>211</v>
      </c>
      <c r="D57" t="s">
        <v>192</v>
      </c>
      <c r="E57" t="s">
        <v>193</v>
      </c>
      <c r="F57" t="s">
        <v>194</v>
      </c>
      <c r="G57" t="s">
        <v>300</v>
      </c>
      <c r="H57" t="s">
        <v>196</v>
      </c>
      <c r="I57" t="s">
        <v>197</v>
      </c>
      <c r="J57" t="s">
        <v>301</v>
      </c>
      <c r="K57">
        <v>0</v>
      </c>
      <c r="L57" s="36">
        <v>43874</v>
      </c>
      <c r="M57">
        <v>0</v>
      </c>
      <c r="N57">
        <v>0</v>
      </c>
      <c r="O57">
        <f t="shared" si="0"/>
        <v>0</v>
      </c>
    </row>
    <row r="58" spans="1:15" hidden="1">
      <c r="A58" t="s">
        <v>324</v>
      </c>
      <c r="B58" t="s">
        <v>325</v>
      </c>
      <c r="C58" t="s">
        <v>232</v>
      </c>
      <c r="D58" t="s">
        <v>192</v>
      </c>
      <c r="E58" t="s">
        <v>193</v>
      </c>
      <c r="F58" t="s">
        <v>194</v>
      </c>
      <c r="G58" t="s">
        <v>326</v>
      </c>
      <c r="H58" t="s">
        <v>196</v>
      </c>
      <c r="I58" t="s">
        <v>197</v>
      </c>
      <c r="J58" t="s">
        <v>326</v>
      </c>
      <c r="K58">
        <v>5</v>
      </c>
      <c r="L58" s="36">
        <v>43860</v>
      </c>
      <c r="M58">
        <v>136.28</v>
      </c>
      <c r="N58">
        <v>0.73</v>
      </c>
      <c r="O58">
        <f t="shared" si="0"/>
        <v>137.01</v>
      </c>
    </row>
    <row r="59" spans="1:15" hidden="1">
      <c r="A59" t="s">
        <v>327</v>
      </c>
      <c r="B59" t="s">
        <v>328</v>
      </c>
      <c r="C59" t="s">
        <v>191</v>
      </c>
      <c r="D59" t="s">
        <v>192</v>
      </c>
      <c r="E59" t="s">
        <v>193</v>
      </c>
      <c r="F59" t="s">
        <v>194</v>
      </c>
      <c r="G59" t="s">
        <v>326</v>
      </c>
      <c r="H59" t="s">
        <v>196</v>
      </c>
      <c r="I59" t="s">
        <v>197</v>
      </c>
      <c r="J59" t="s">
        <v>326</v>
      </c>
      <c r="K59">
        <v>3</v>
      </c>
      <c r="L59" s="36">
        <v>43887</v>
      </c>
      <c r="M59">
        <v>0.17</v>
      </c>
      <c r="N59">
        <v>1.48</v>
      </c>
      <c r="O59">
        <f t="shared" si="0"/>
        <v>1.65</v>
      </c>
    </row>
    <row r="60" spans="1:15" hidden="1">
      <c r="A60" t="s">
        <v>329</v>
      </c>
      <c r="B60" t="s">
        <v>330</v>
      </c>
      <c r="C60" t="s">
        <v>232</v>
      </c>
      <c r="D60" t="s">
        <v>192</v>
      </c>
      <c r="E60" t="s">
        <v>193</v>
      </c>
      <c r="F60" t="s">
        <v>194</v>
      </c>
      <c r="G60" t="s">
        <v>326</v>
      </c>
      <c r="H60" t="s">
        <v>196</v>
      </c>
      <c r="I60" t="s">
        <v>197</v>
      </c>
      <c r="J60" t="s">
        <v>326</v>
      </c>
      <c r="K60">
        <v>4</v>
      </c>
      <c r="L60" s="36">
        <v>43886</v>
      </c>
      <c r="M60">
        <v>50.7</v>
      </c>
      <c r="N60">
        <v>4.5999999999999996</v>
      </c>
      <c r="O60">
        <f t="shared" si="0"/>
        <v>55.300000000000004</v>
      </c>
    </row>
    <row r="61" spans="1:15" hidden="1">
      <c r="A61" t="s">
        <v>331</v>
      </c>
      <c r="B61" t="s">
        <v>332</v>
      </c>
      <c r="C61" t="s">
        <v>232</v>
      </c>
      <c r="D61" t="s">
        <v>192</v>
      </c>
      <c r="E61" t="s">
        <v>193</v>
      </c>
      <c r="F61" t="s">
        <v>194</v>
      </c>
      <c r="G61" t="s">
        <v>326</v>
      </c>
      <c r="H61" t="s">
        <v>196</v>
      </c>
      <c r="I61" t="s">
        <v>197</v>
      </c>
      <c r="J61" t="s">
        <v>326</v>
      </c>
      <c r="K61">
        <v>53.33</v>
      </c>
      <c r="L61" s="36">
        <v>43908</v>
      </c>
      <c r="M61">
        <v>149.6</v>
      </c>
      <c r="N61">
        <v>9.5500000000000007</v>
      </c>
      <c r="O61">
        <f t="shared" si="0"/>
        <v>159.15</v>
      </c>
    </row>
    <row r="62" spans="1:15" hidden="1">
      <c r="A62" t="s">
        <v>333</v>
      </c>
      <c r="B62" t="s">
        <v>334</v>
      </c>
      <c r="C62" t="s">
        <v>232</v>
      </c>
      <c r="D62" t="s">
        <v>192</v>
      </c>
      <c r="E62" t="s">
        <v>193</v>
      </c>
      <c r="F62" t="s">
        <v>194</v>
      </c>
      <c r="G62" t="s">
        <v>306</v>
      </c>
      <c r="H62" t="s">
        <v>196</v>
      </c>
      <c r="I62" t="s">
        <v>197</v>
      </c>
      <c r="J62" t="s">
        <v>309</v>
      </c>
      <c r="K62">
        <v>8</v>
      </c>
      <c r="L62" s="36">
        <v>43905</v>
      </c>
      <c r="M62">
        <v>23.61</v>
      </c>
      <c r="N62">
        <v>1.07</v>
      </c>
      <c r="O62">
        <f t="shared" si="0"/>
        <v>24.68</v>
      </c>
    </row>
    <row r="63" spans="1:15" hidden="1">
      <c r="A63" t="s">
        <v>335</v>
      </c>
      <c r="B63" t="s">
        <v>336</v>
      </c>
      <c r="C63" t="s">
        <v>232</v>
      </c>
      <c r="D63" t="s">
        <v>192</v>
      </c>
      <c r="E63" t="s">
        <v>193</v>
      </c>
      <c r="F63" t="s">
        <v>194</v>
      </c>
      <c r="G63" t="s">
        <v>306</v>
      </c>
      <c r="H63" t="s">
        <v>196</v>
      </c>
      <c r="I63" t="s">
        <v>197</v>
      </c>
      <c r="J63" t="s">
        <v>309</v>
      </c>
      <c r="K63">
        <v>5</v>
      </c>
      <c r="L63" s="36">
        <v>43894</v>
      </c>
      <c r="M63">
        <v>18.329999999999998</v>
      </c>
      <c r="N63">
        <v>1.95</v>
      </c>
      <c r="O63">
        <f t="shared" si="0"/>
        <v>20.279999999999998</v>
      </c>
    </row>
    <row r="64" spans="1:15" hidden="1">
      <c r="A64" t="s">
        <v>337</v>
      </c>
      <c r="B64" t="s">
        <v>338</v>
      </c>
      <c r="C64" t="s">
        <v>232</v>
      </c>
      <c r="D64" t="s">
        <v>192</v>
      </c>
      <c r="E64" t="s">
        <v>193</v>
      </c>
      <c r="F64" t="s">
        <v>194</v>
      </c>
      <c r="G64" t="s">
        <v>326</v>
      </c>
      <c r="H64" t="s">
        <v>196</v>
      </c>
      <c r="I64" t="s">
        <v>197</v>
      </c>
      <c r="J64" t="s">
        <v>326</v>
      </c>
      <c r="K64">
        <v>15</v>
      </c>
      <c r="L64" s="36">
        <v>43894</v>
      </c>
      <c r="M64">
        <v>39.35</v>
      </c>
      <c r="N64">
        <v>2.2400000000000002</v>
      </c>
      <c r="O64">
        <f t="shared" si="0"/>
        <v>41.59</v>
      </c>
    </row>
    <row r="65" spans="1:15" hidden="1">
      <c r="A65" t="s">
        <v>339</v>
      </c>
      <c r="B65" t="s">
        <v>340</v>
      </c>
      <c r="C65" t="s">
        <v>232</v>
      </c>
      <c r="D65" t="s">
        <v>192</v>
      </c>
      <c r="E65" t="s">
        <v>193</v>
      </c>
      <c r="F65" t="s">
        <v>194</v>
      </c>
      <c r="G65" t="s">
        <v>306</v>
      </c>
      <c r="H65" t="s">
        <v>196</v>
      </c>
      <c r="I65" t="s">
        <v>197</v>
      </c>
      <c r="J65" t="s">
        <v>309</v>
      </c>
      <c r="K65">
        <v>20.21</v>
      </c>
      <c r="L65" s="36">
        <v>43908</v>
      </c>
      <c r="M65">
        <v>56.77</v>
      </c>
      <c r="N65">
        <v>9.3699999999999992</v>
      </c>
      <c r="O65">
        <f t="shared" si="0"/>
        <v>66.14</v>
      </c>
    </row>
    <row r="66" spans="1:15" hidden="1">
      <c r="A66" t="s">
        <v>341</v>
      </c>
      <c r="B66" t="s">
        <v>342</v>
      </c>
      <c r="C66" t="s">
        <v>232</v>
      </c>
      <c r="D66" t="s">
        <v>192</v>
      </c>
      <c r="E66" t="s">
        <v>193</v>
      </c>
      <c r="F66" t="s">
        <v>194</v>
      </c>
      <c r="G66" t="s">
        <v>326</v>
      </c>
      <c r="H66" t="s">
        <v>196</v>
      </c>
      <c r="I66" t="s">
        <v>197</v>
      </c>
      <c r="J66" t="s">
        <v>326</v>
      </c>
      <c r="K66">
        <v>15</v>
      </c>
      <c r="L66" s="36">
        <v>43901</v>
      </c>
      <c r="M66">
        <v>169.99</v>
      </c>
      <c r="N66">
        <v>0.28000000000000003</v>
      </c>
      <c r="O66">
        <f t="shared" si="0"/>
        <v>170.27</v>
      </c>
    </row>
    <row r="67" spans="1:15" hidden="1">
      <c r="A67" t="s">
        <v>343</v>
      </c>
      <c r="B67" t="s">
        <v>344</v>
      </c>
      <c r="C67" t="s">
        <v>211</v>
      </c>
      <c r="D67" t="s">
        <v>192</v>
      </c>
      <c r="E67" t="s">
        <v>193</v>
      </c>
      <c r="F67" t="s">
        <v>194</v>
      </c>
      <c r="G67" t="s">
        <v>300</v>
      </c>
      <c r="H67" t="s">
        <v>196</v>
      </c>
      <c r="I67" t="s">
        <v>197</v>
      </c>
      <c r="J67" t="s">
        <v>301</v>
      </c>
      <c r="K67">
        <v>0</v>
      </c>
      <c r="L67" s="36">
        <v>43874</v>
      </c>
      <c r="M67">
        <v>0</v>
      </c>
      <c r="N67">
        <v>0</v>
      </c>
      <c r="O67">
        <f t="shared" ref="O67:O130" si="1">M67+N67</f>
        <v>0</v>
      </c>
    </row>
    <row r="68" spans="1:15" hidden="1">
      <c r="A68" t="s">
        <v>345</v>
      </c>
      <c r="B68" t="s">
        <v>346</v>
      </c>
      <c r="C68" t="s">
        <v>232</v>
      </c>
      <c r="D68" t="s">
        <v>192</v>
      </c>
      <c r="E68" t="s">
        <v>193</v>
      </c>
      <c r="F68" t="s">
        <v>194</v>
      </c>
      <c r="G68" t="s">
        <v>326</v>
      </c>
      <c r="H68" t="s">
        <v>196</v>
      </c>
      <c r="I68" t="s">
        <v>197</v>
      </c>
      <c r="J68" t="s">
        <v>326</v>
      </c>
      <c r="K68">
        <v>6</v>
      </c>
      <c r="L68" s="36">
        <v>43870</v>
      </c>
      <c r="M68">
        <v>74.33</v>
      </c>
      <c r="N68">
        <v>0.66</v>
      </c>
      <c r="O68">
        <f t="shared" si="1"/>
        <v>74.989999999999995</v>
      </c>
    </row>
    <row r="69" spans="1:15" hidden="1">
      <c r="A69" t="s">
        <v>347</v>
      </c>
      <c r="B69" t="s">
        <v>348</v>
      </c>
      <c r="C69" t="s">
        <v>232</v>
      </c>
      <c r="D69" t="s">
        <v>192</v>
      </c>
      <c r="E69" t="s">
        <v>193</v>
      </c>
      <c r="F69" t="s">
        <v>194</v>
      </c>
      <c r="G69" t="s">
        <v>306</v>
      </c>
      <c r="H69" t="s">
        <v>196</v>
      </c>
      <c r="I69" t="s">
        <v>197</v>
      </c>
      <c r="J69" t="s">
        <v>309</v>
      </c>
      <c r="K69">
        <v>5</v>
      </c>
      <c r="L69" s="36">
        <v>43895</v>
      </c>
      <c r="M69">
        <v>64.83</v>
      </c>
      <c r="N69">
        <v>5.91</v>
      </c>
      <c r="O69">
        <f t="shared" si="1"/>
        <v>70.739999999999995</v>
      </c>
    </row>
    <row r="70" spans="1:15" hidden="1">
      <c r="A70" t="s">
        <v>349</v>
      </c>
      <c r="B70" t="s">
        <v>350</v>
      </c>
      <c r="C70" t="s">
        <v>211</v>
      </c>
      <c r="D70" t="s">
        <v>192</v>
      </c>
      <c r="E70" t="s">
        <v>193</v>
      </c>
      <c r="F70" t="s">
        <v>194</v>
      </c>
      <c r="G70" t="s">
        <v>300</v>
      </c>
      <c r="H70" t="s">
        <v>196</v>
      </c>
      <c r="I70" t="s">
        <v>197</v>
      </c>
      <c r="J70" t="s">
        <v>351</v>
      </c>
      <c r="K70">
        <v>0</v>
      </c>
      <c r="L70" s="36">
        <v>43553</v>
      </c>
      <c r="M70">
        <v>0</v>
      </c>
      <c r="N70">
        <v>0</v>
      </c>
      <c r="O70">
        <f t="shared" si="1"/>
        <v>0</v>
      </c>
    </row>
    <row r="71" spans="1:15" hidden="1">
      <c r="A71" t="s">
        <v>352</v>
      </c>
      <c r="B71" t="s">
        <v>353</v>
      </c>
      <c r="C71" t="s">
        <v>211</v>
      </c>
      <c r="D71" t="s">
        <v>192</v>
      </c>
      <c r="E71" t="s">
        <v>193</v>
      </c>
      <c r="F71" t="s">
        <v>194</v>
      </c>
      <c r="G71" t="s">
        <v>300</v>
      </c>
      <c r="H71" t="s">
        <v>196</v>
      </c>
      <c r="I71" t="s">
        <v>197</v>
      </c>
      <c r="J71" t="s">
        <v>301</v>
      </c>
      <c r="K71">
        <v>0</v>
      </c>
      <c r="L71" s="36">
        <v>43874</v>
      </c>
      <c r="M71">
        <v>0</v>
      </c>
      <c r="N71">
        <v>0</v>
      </c>
      <c r="O71">
        <f t="shared" si="1"/>
        <v>0</v>
      </c>
    </row>
    <row r="72" spans="1:15" hidden="1">
      <c r="A72" t="s">
        <v>354</v>
      </c>
      <c r="B72" t="s">
        <v>355</v>
      </c>
      <c r="C72" t="s">
        <v>211</v>
      </c>
      <c r="D72" t="s">
        <v>192</v>
      </c>
      <c r="E72" t="s">
        <v>193</v>
      </c>
      <c r="F72" t="s">
        <v>194</v>
      </c>
      <c r="G72" t="s">
        <v>300</v>
      </c>
      <c r="H72" t="s">
        <v>196</v>
      </c>
      <c r="I72" t="s">
        <v>197</v>
      </c>
      <c r="J72" t="s">
        <v>301</v>
      </c>
      <c r="K72">
        <v>0</v>
      </c>
      <c r="L72" s="36">
        <v>35016</v>
      </c>
      <c r="M72">
        <v>0</v>
      </c>
      <c r="N72">
        <v>0</v>
      </c>
      <c r="O72">
        <f t="shared" si="1"/>
        <v>0</v>
      </c>
    </row>
    <row r="73" spans="1:15" hidden="1">
      <c r="A73" t="s">
        <v>356</v>
      </c>
      <c r="B73" t="s">
        <v>357</v>
      </c>
      <c r="C73" t="s">
        <v>211</v>
      </c>
      <c r="D73" t="s">
        <v>192</v>
      </c>
      <c r="E73" t="s">
        <v>193</v>
      </c>
      <c r="F73" t="s">
        <v>194</v>
      </c>
      <c r="G73" t="s">
        <v>300</v>
      </c>
      <c r="H73" t="s">
        <v>196</v>
      </c>
      <c r="I73" t="s">
        <v>197</v>
      </c>
      <c r="J73" t="s">
        <v>301</v>
      </c>
      <c r="K73">
        <v>0</v>
      </c>
      <c r="L73" s="36">
        <v>43798</v>
      </c>
      <c r="M73">
        <v>0</v>
      </c>
      <c r="N73">
        <v>0</v>
      </c>
      <c r="O73">
        <f t="shared" si="1"/>
        <v>0</v>
      </c>
    </row>
    <row r="74" spans="1:15" hidden="1">
      <c r="A74" t="s">
        <v>358</v>
      </c>
      <c r="B74" t="s">
        <v>359</v>
      </c>
      <c r="C74" t="s">
        <v>211</v>
      </c>
      <c r="D74" t="s">
        <v>192</v>
      </c>
      <c r="E74" t="s">
        <v>193</v>
      </c>
      <c r="F74" t="s">
        <v>194</v>
      </c>
      <c r="G74" t="s">
        <v>300</v>
      </c>
      <c r="H74" t="s">
        <v>196</v>
      </c>
      <c r="I74" t="s">
        <v>197</v>
      </c>
      <c r="J74" t="s">
        <v>301</v>
      </c>
      <c r="K74">
        <v>0</v>
      </c>
      <c r="L74" s="36">
        <v>43874</v>
      </c>
      <c r="M74">
        <v>0</v>
      </c>
      <c r="N74">
        <v>0</v>
      </c>
      <c r="O74">
        <f t="shared" si="1"/>
        <v>0</v>
      </c>
    </row>
    <row r="75" spans="1:15" hidden="1">
      <c r="A75" t="s">
        <v>360</v>
      </c>
      <c r="B75" t="s">
        <v>361</v>
      </c>
      <c r="C75" t="s">
        <v>211</v>
      </c>
      <c r="D75" t="s">
        <v>192</v>
      </c>
      <c r="E75" t="s">
        <v>193</v>
      </c>
      <c r="F75" t="s">
        <v>194</v>
      </c>
      <c r="G75" t="s">
        <v>300</v>
      </c>
      <c r="H75" t="s">
        <v>196</v>
      </c>
      <c r="I75" t="s">
        <v>197</v>
      </c>
      <c r="J75" t="s">
        <v>301</v>
      </c>
      <c r="K75">
        <v>0</v>
      </c>
      <c r="L75" s="36">
        <v>43874</v>
      </c>
      <c r="M75">
        <v>0</v>
      </c>
      <c r="N75">
        <v>0</v>
      </c>
      <c r="O75">
        <f t="shared" si="1"/>
        <v>0</v>
      </c>
    </row>
    <row r="76" spans="1:15" hidden="1">
      <c r="A76" t="s">
        <v>362</v>
      </c>
      <c r="B76" t="s">
        <v>363</v>
      </c>
      <c r="C76" t="s">
        <v>211</v>
      </c>
      <c r="D76" t="s">
        <v>192</v>
      </c>
      <c r="E76" t="s">
        <v>193</v>
      </c>
      <c r="F76" t="s">
        <v>194</v>
      </c>
      <c r="G76" t="s">
        <v>300</v>
      </c>
      <c r="H76" t="s">
        <v>196</v>
      </c>
      <c r="I76" t="s">
        <v>197</v>
      </c>
      <c r="J76" t="s">
        <v>301</v>
      </c>
      <c r="K76">
        <v>0</v>
      </c>
      <c r="L76" s="36">
        <v>43874</v>
      </c>
      <c r="M76">
        <v>0</v>
      </c>
      <c r="N76">
        <v>0</v>
      </c>
      <c r="O76">
        <f t="shared" si="1"/>
        <v>0</v>
      </c>
    </row>
    <row r="77" spans="1:15" hidden="1">
      <c r="A77" t="s">
        <v>364</v>
      </c>
      <c r="B77" t="s">
        <v>365</v>
      </c>
      <c r="C77" t="s">
        <v>211</v>
      </c>
      <c r="D77" t="s">
        <v>192</v>
      </c>
      <c r="E77" t="s">
        <v>193</v>
      </c>
      <c r="F77" t="s">
        <v>194</v>
      </c>
      <c r="G77" t="s">
        <v>300</v>
      </c>
      <c r="H77" t="s">
        <v>196</v>
      </c>
      <c r="I77" t="s">
        <v>197</v>
      </c>
      <c r="J77" t="s">
        <v>366</v>
      </c>
      <c r="K77">
        <v>0</v>
      </c>
      <c r="L77" s="36">
        <v>43874</v>
      </c>
      <c r="M77">
        <v>0</v>
      </c>
      <c r="N77">
        <v>0</v>
      </c>
      <c r="O77">
        <f t="shared" si="1"/>
        <v>0</v>
      </c>
    </row>
    <row r="78" spans="1:15" hidden="1">
      <c r="A78" t="s">
        <v>367</v>
      </c>
      <c r="B78" t="s">
        <v>368</v>
      </c>
      <c r="C78" t="s">
        <v>191</v>
      </c>
      <c r="D78" t="s">
        <v>192</v>
      </c>
      <c r="E78" t="s">
        <v>193</v>
      </c>
      <c r="F78" t="s">
        <v>194</v>
      </c>
      <c r="G78" t="s">
        <v>369</v>
      </c>
      <c r="H78" t="s">
        <v>196</v>
      </c>
      <c r="I78" t="s">
        <v>197</v>
      </c>
      <c r="J78" t="s">
        <v>369</v>
      </c>
      <c r="K78">
        <v>90</v>
      </c>
      <c r="L78" s="36">
        <v>43907</v>
      </c>
      <c r="M78">
        <v>2.36</v>
      </c>
      <c r="N78">
        <v>0.54</v>
      </c>
      <c r="O78">
        <f t="shared" si="1"/>
        <v>2.9</v>
      </c>
    </row>
    <row r="79" spans="1:15" hidden="1">
      <c r="A79" t="s">
        <v>370</v>
      </c>
      <c r="B79" t="s">
        <v>371</v>
      </c>
      <c r="C79" t="s">
        <v>191</v>
      </c>
      <c r="D79" t="s">
        <v>192</v>
      </c>
      <c r="E79" t="s">
        <v>193</v>
      </c>
      <c r="F79" t="s">
        <v>194</v>
      </c>
      <c r="G79" t="s">
        <v>372</v>
      </c>
      <c r="H79" t="s">
        <v>196</v>
      </c>
      <c r="I79" t="s">
        <v>197</v>
      </c>
      <c r="J79" t="s">
        <v>373</v>
      </c>
      <c r="K79">
        <v>2192</v>
      </c>
      <c r="L79" s="36">
        <v>43908</v>
      </c>
      <c r="M79">
        <v>12.67</v>
      </c>
      <c r="N79">
        <v>0.94</v>
      </c>
      <c r="O79">
        <f t="shared" si="1"/>
        <v>13.61</v>
      </c>
    </row>
    <row r="80" spans="1:15" hidden="1">
      <c r="A80" t="s">
        <v>374</v>
      </c>
      <c r="B80" t="s">
        <v>375</v>
      </c>
      <c r="C80" t="s">
        <v>211</v>
      </c>
      <c r="D80" t="s">
        <v>192</v>
      </c>
      <c r="E80" t="s">
        <v>193</v>
      </c>
      <c r="F80" t="s">
        <v>194</v>
      </c>
      <c r="G80" t="s">
        <v>300</v>
      </c>
      <c r="H80" t="s">
        <v>196</v>
      </c>
      <c r="I80" t="s">
        <v>197</v>
      </c>
      <c r="J80" t="s">
        <v>366</v>
      </c>
      <c r="K80">
        <v>0</v>
      </c>
      <c r="L80" s="36">
        <v>43874</v>
      </c>
      <c r="M80">
        <v>0</v>
      </c>
      <c r="N80">
        <v>0</v>
      </c>
      <c r="O80">
        <f t="shared" si="1"/>
        <v>0</v>
      </c>
    </row>
    <row r="81" spans="1:15" hidden="1">
      <c r="A81" t="s">
        <v>376</v>
      </c>
      <c r="B81" t="s">
        <v>377</v>
      </c>
      <c r="C81" t="s">
        <v>191</v>
      </c>
      <c r="D81" t="s">
        <v>192</v>
      </c>
      <c r="E81" t="s">
        <v>193</v>
      </c>
      <c r="F81" t="s">
        <v>194</v>
      </c>
      <c r="G81" t="s">
        <v>378</v>
      </c>
      <c r="H81" t="s">
        <v>196</v>
      </c>
      <c r="I81" t="s">
        <v>197</v>
      </c>
      <c r="J81" t="s">
        <v>379</v>
      </c>
      <c r="K81">
        <v>1717</v>
      </c>
      <c r="L81" s="36">
        <v>43872</v>
      </c>
      <c r="M81">
        <v>4.37</v>
      </c>
      <c r="N81">
        <v>0.95</v>
      </c>
      <c r="O81">
        <f t="shared" si="1"/>
        <v>5.32</v>
      </c>
    </row>
    <row r="82" spans="1:15" hidden="1">
      <c r="A82" t="s">
        <v>380</v>
      </c>
      <c r="B82" t="s">
        <v>381</v>
      </c>
      <c r="C82" t="s">
        <v>211</v>
      </c>
      <c r="D82" t="s">
        <v>192</v>
      </c>
      <c r="E82" t="s">
        <v>193</v>
      </c>
      <c r="F82" t="s">
        <v>194</v>
      </c>
      <c r="G82" t="s">
        <v>300</v>
      </c>
      <c r="H82" t="s">
        <v>196</v>
      </c>
      <c r="I82" t="s">
        <v>197</v>
      </c>
      <c r="J82" t="s">
        <v>366</v>
      </c>
      <c r="K82">
        <v>0</v>
      </c>
      <c r="L82" s="36">
        <v>43874</v>
      </c>
      <c r="M82">
        <v>0</v>
      </c>
      <c r="N82">
        <v>0</v>
      </c>
      <c r="O82">
        <f t="shared" si="1"/>
        <v>0</v>
      </c>
    </row>
    <row r="83" spans="1:15" hidden="1">
      <c r="A83" t="s">
        <v>382</v>
      </c>
      <c r="B83" t="s">
        <v>383</v>
      </c>
      <c r="C83" t="s">
        <v>191</v>
      </c>
      <c r="D83" t="s">
        <v>192</v>
      </c>
      <c r="E83" t="s">
        <v>193</v>
      </c>
      <c r="F83" t="s">
        <v>194</v>
      </c>
      <c r="G83" t="s">
        <v>372</v>
      </c>
      <c r="H83" t="s">
        <v>196</v>
      </c>
      <c r="I83" t="s">
        <v>197</v>
      </c>
      <c r="J83" t="s">
        <v>373</v>
      </c>
      <c r="K83">
        <v>1948</v>
      </c>
      <c r="L83" s="36">
        <v>43906</v>
      </c>
      <c r="M83">
        <v>10.130000000000001</v>
      </c>
      <c r="N83">
        <v>0.16</v>
      </c>
      <c r="O83">
        <f t="shared" si="1"/>
        <v>10.290000000000001</v>
      </c>
    </row>
    <row r="84" spans="1:15" hidden="1">
      <c r="A84" t="s">
        <v>384</v>
      </c>
      <c r="B84" t="s">
        <v>385</v>
      </c>
      <c r="C84" t="s">
        <v>191</v>
      </c>
      <c r="D84" t="s">
        <v>192</v>
      </c>
      <c r="E84" t="s">
        <v>193</v>
      </c>
      <c r="F84" t="s">
        <v>194</v>
      </c>
      <c r="G84" t="s">
        <v>372</v>
      </c>
      <c r="H84" t="s">
        <v>196</v>
      </c>
      <c r="I84" t="s">
        <v>197</v>
      </c>
      <c r="J84" t="s">
        <v>373</v>
      </c>
      <c r="K84">
        <v>2000</v>
      </c>
      <c r="L84" s="36">
        <v>43907</v>
      </c>
      <c r="M84">
        <v>2.1</v>
      </c>
      <c r="N84">
        <v>2.08</v>
      </c>
      <c r="O84">
        <f t="shared" si="1"/>
        <v>4.18</v>
      </c>
    </row>
    <row r="85" spans="1:15" hidden="1">
      <c r="A85" t="s">
        <v>386</v>
      </c>
      <c r="B85" t="s">
        <v>387</v>
      </c>
      <c r="C85" t="s">
        <v>191</v>
      </c>
      <c r="D85" t="s">
        <v>192</v>
      </c>
      <c r="E85" t="s">
        <v>193</v>
      </c>
      <c r="F85" t="s">
        <v>194</v>
      </c>
      <c r="G85" t="s">
        <v>372</v>
      </c>
      <c r="H85" t="s">
        <v>196</v>
      </c>
      <c r="I85" t="s">
        <v>197</v>
      </c>
      <c r="J85" t="s">
        <v>373</v>
      </c>
      <c r="K85">
        <v>10005</v>
      </c>
      <c r="L85" s="36">
        <v>43900</v>
      </c>
      <c r="M85">
        <v>42.34</v>
      </c>
      <c r="N85">
        <v>4.21</v>
      </c>
      <c r="O85">
        <f t="shared" si="1"/>
        <v>46.550000000000004</v>
      </c>
    </row>
    <row r="86" spans="1:15" hidden="1">
      <c r="A86" t="s">
        <v>388</v>
      </c>
      <c r="B86" t="s">
        <v>389</v>
      </c>
      <c r="C86" t="s">
        <v>191</v>
      </c>
      <c r="D86" t="s">
        <v>192</v>
      </c>
      <c r="E86" t="s">
        <v>193</v>
      </c>
      <c r="F86" t="s">
        <v>194</v>
      </c>
      <c r="G86" t="s">
        <v>372</v>
      </c>
      <c r="H86" t="s">
        <v>196</v>
      </c>
      <c r="I86" t="s">
        <v>197</v>
      </c>
      <c r="J86" t="s">
        <v>373</v>
      </c>
      <c r="K86">
        <v>1964</v>
      </c>
      <c r="L86" s="36">
        <v>43879</v>
      </c>
      <c r="M86">
        <v>43.79</v>
      </c>
      <c r="N86">
        <v>2.77</v>
      </c>
      <c r="O86">
        <f t="shared" si="1"/>
        <v>46.56</v>
      </c>
    </row>
    <row r="87" spans="1:15" hidden="1">
      <c r="A87" t="s">
        <v>390</v>
      </c>
      <c r="B87" t="s">
        <v>391</v>
      </c>
      <c r="C87" t="s">
        <v>191</v>
      </c>
      <c r="D87" t="s">
        <v>192</v>
      </c>
      <c r="E87" t="s">
        <v>193</v>
      </c>
      <c r="F87" t="s">
        <v>194</v>
      </c>
      <c r="G87" t="s">
        <v>372</v>
      </c>
      <c r="H87" t="s">
        <v>196</v>
      </c>
      <c r="I87" t="s">
        <v>197</v>
      </c>
      <c r="J87" t="s">
        <v>373</v>
      </c>
      <c r="K87">
        <v>1996</v>
      </c>
      <c r="L87" s="36">
        <v>43906</v>
      </c>
      <c r="M87">
        <v>6.68</v>
      </c>
      <c r="N87">
        <v>0.74</v>
      </c>
      <c r="O87">
        <f t="shared" si="1"/>
        <v>7.42</v>
      </c>
    </row>
    <row r="88" spans="1:15" hidden="1">
      <c r="A88" t="s">
        <v>392</v>
      </c>
      <c r="B88" t="s">
        <v>393</v>
      </c>
      <c r="C88" t="s">
        <v>191</v>
      </c>
      <c r="D88" t="s">
        <v>192</v>
      </c>
      <c r="E88" t="s">
        <v>193</v>
      </c>
      <c r="F88" t="s">
        <v>194</v>
      </c>
      <c r="G88" t="s">
        <v>378</v>
      </c>
      <c r="H88" t="s">
        <v>196</v>
      </c>
      <c r="I88" t="s">
        <v>197</v>
      </c>
      <c r="J88" t="s">
        <v>379</v>
      </c>
      <c r="K88">
        <v>515</v>
      </c>
      <c r="L88" s="36">
        <v>43878</v>
      </c>
      <c r="M88">
        <v>10.23</v>
      </c>
      <c r="N88">
        <v>0.81</v>
      </c>
      <c r="O88">
        <f t="shared" si="1"/>
        <v>11.040000000000001</v>
      </c>
    </row>
    <row r="89" spans="1:15" hidden="1">
      <c r="A89" t="s">
        <v>394</v>
      </c>
      <c r="B89" t="s">
        <v>395</v>
      </c>
      <c r="C89" t="s">
        <v>191</v>
      </c>
      <c r="D89" t="s">
        <v>192</v>
      </c>
      <c r="E89" t="s">
        <v>193</v>
      </c>
      <c r="F89" t="s">
        <v>194</v>
      </c>
      <c r="G89" t="s">
        <v>396</v>
      </c>
      <c r="H89" t="s">
        <v>196</v>
      </c>
      <c r="I89" t="s">
        <v>197</v>
      </c>
      <c r="J89" t="s">
        <v>373</v>
      </c>
      <c r="K89">
        <v>25</v>
      </c>
      <c r="L89" s="36">
        <v>43907</v>
      </c>
      <c r="M89">
        <v>1.31</v>
      </c>
      <c r="N89">
        <v>0.48</v>
      </c>
      <c r="O89">
        <f t="shared" si="1"/>
        <v>1.79</v>
      </c>
    </row>
    <row r="90" spans="1:15" hidden="1">
      <c r="A90" t="s">
        <v>397</v>
      </c>
      <c r="B90" t="s">
        <v>398</v>
      </c>
      <c r="C90" t="s">
        <v>191</v>
      </c>
      <c r="D90" t="s">
        <v>192</v>
      </c>
      <c r="E90" t="s">
        <v>193</v>
      </c>
      <c r="F90" t="s">
        <v>194</v>
      </c>
      <c r="G90" t="s">
        <v>378</v>
      </c>
      <c r="H90" t="s">
        <v>196</v>
      </c>
      <c r="I90" t="s">
        <v>197</v>
      </c>
      <c r="J90" t="s">
        <v>379</v>
      </c>
      <c r="K90">
        <v>2318</v>
      </c>
      <c r="L90" s="36">
        <v>43879</v>
      </c>
      <c r="M90">
        <v>33.42</v>
      </c>
      <c r="N90">
        <v>1.96</v>
      </c>
      <c r="O90">
        <f t="shared" si="1"/>
        <v>35.380000000000003</v>
      </c>
    </row>
    <row r="91" spans="1:15" hidden="1">
      <c r="A91" t="s">
        <v>399</v>
      </c>
      <c r="B91" t="s">
        <v>400</v>
      </c>
      <c r="C91" t="s">
        <v>191</v>
      </c>
      <c r="D91" t="s">
        <v>192</v>
      </c>
      <c r="E91" t="s">
        <v>193</v>
      </c>
      <c r="F91" t="s">
        <v>194</v>
      </c>
      <c r="G91" t="s">
        <v>378</v>
      </c>
      <c r="H91" t="s">
        <v>196</v>
      </c>
      <c r="I91" t="s">
        <v>197</v>
      </c>
      <c r="J91" t="s">
        <v>379</v>
      </c>
      <c r="K91">
        <v>2901</v>
      </c>
      <c r="L91" s="36">
        <v>43906</v>
      </c>
      <c r="M91">
        <v>12.78</v>
      </c>
      <c r="N91">
        <v>1.5</v>
      </c>
      <c r="O91">
        <f t="shared" si="1"/>
        <v>14.28</v>
      </c>
    </row>
    <row r="92" spans="1:15" hidden="1">
      <c r="A92" t="s">
        <v>401</v>
      </c>
      <c r="B92" t="s">
        <v>402</v>
      </c>
      <c r="C92" t="s">
        <v>191</v>
      </c>
      <c r="D92" t="s">
        <v>192</v>
      </c>
      <c r="E92" t="s">
        <v>193</v>
      </c>
      <c r="F92" t="s">
        <v>194</v>
      </c>
      <c r="G92" t="s">
        <v>378</v>
      </c>
      <c r="H92" t="s">
        <v>196</v>
      </c>
      <c r="I92" t="s">
        <v>197</v>
      </c>
      <c r="J92" t="s">
        <v>379</v>
      </c>
      <c r="K92">
        <v>963</v>
      </c>
      <c r="L92" s="36">
        <v>43878</v>
      </c>
      <c r="M92">
        <v>4.51</v>
      </c>
      <c r="N92">
        <v>0.39</v>
      </c>
      <c r="O92">
        <f t="shared" si="1"/>
        <v>4.8999999999999995</v>
      </c>
    </row>
    <row r="93" spans="1:15" hidden="1">
      <c r="A93" t="s">
        <v>403</v>
      </c>
      <c r="B93" t="s">
        <v>404</v>
      </c>
      <c r="C93" t="s">
        <v>191</v>
      </c>
      <c r="D93" t="s">
        <v>192</v>
      </c>
      <c r="E93" t="s">
        <v>193</v>
      </c>
      <c r="F93" t="s">
        <v>194</v>
      </c>
      <c r="G93" t="s">
        <v>378</v>
      </c>
      <c r="H93" t="s">
        <v>196</v>
      </c>
      <c r="I93" t="s">
        <v>197</v>
      </c>
      <c r="J93" t="s">
        <v>379</v>
      </c>
      <c r="K93">
        <v>6716</v>
      </c>
      <c r="L93" s="36">
        <v>43906</v>
      </c>
      <c r="M93">
        <v>9.41</v>
      </c>
      <c r="N93">
        <v>1.81</v>
      </c>
      <c r="O93">
        <f t="shared" si="1"/>
        <v>11.22</v>
      </c>
    </row>
    <row r="94" spans="1:15" hidden="1">
      <c r="A94" t="s">
        <v>405</v>
      </c>
      <c r="B94" t="s">
        <v>406</v>
      </c>
      <c r="C94" t="s">
        <v>191</v>
      </c>
      <c r="D94" t="s">
        <v>192</v>
      </c>
      <c r="E94" t="s">
        <v>193</v>
      </c>
      <c r="F94" t="s">
        <v>194</v>
      </c>
      <c r="G94" t="s">
        <v>378</v>
      </c>
      <c r="H94" t="s">
        <v>196</v>
      </c>
      <c r="I94" t="s">
        <v>197</v>
      </c>
      <c r="J94" t="s">
        <v>379</v>
      </c>
      <c r="K94">
        <v>1992</v>
      </c>
      <c r="L94" s="36">
        <v>43909</v>
      </c>
      <c r="M94">
        <v>5.45</v>
      </c>
      <c r="N94">
        <v>0.81</v>
      </c>
      <c r="O94">
        <f t="shared" si="1"/>
        <v>6.26</v>
      </c>
    </row>
    <row r="95" spans="1:15" hidden="1">
      <c r="A95" t="s">
        <v>407</v>
      </c>
      <c r="B95" t="s">
        <v>408</v>
      </c>
      <c r="C95" t="s">
        <v>191</v>
      </c>
      <c r="D95" t="s">
        <v>192</v>
      </c>
      <c r="E95" t="s">
        <v>193</v>
      </c>
      <c r="F95" t="s">
        <v>194</v>
      </c>
      <c r="G95" t="s">
        <v>378</v>
      </c>
      <c r="H95" t="s">
        <v>196</v>
      </c>
      <c r="I95" t="s">
        <v>197</v>
      </c>
      <c r="J95" t="s">
        <v>379</v>
      </c>
      <c r="K95">
        <v>2946</v>
      </c>
      <c r="L95" s="36">
        <v>43908</v>
      </c>
      <c r="M95">
        <v>17.39</v>
      </c>
      <c r="N95">
        <v>3.04</v>
      </c>
      <c r="O95">
        <f t="shared" si="1"/>
        <v>20.43</v>
      </c>
    </row>
    <row r="96" spans="1:15" hidden="1">
      <c r="A96" t="s">
        <v>409</v>
      </c>
      <c r="B96" t="s">
        <v>60</v>
      </c>
      <c r="C96" t="s">
        <v>269</v>
      </c>
      <c r="D96" t="s">
        <v>192</v>
      </c>
      <c r="E96" t="s">
        <v>193</v>
      </c>
      <c r="F96" t="s">
        <v>194</v>
      </c>
      <c r="G96" t="s">
        <v>372</v>
      </c>
      <c r="H96" t="s">
        <v>196</v>
      </c>
      <c r="I96" t="s">
        <v>197</v>
      </c>
      <c r="J96" t="s">
        <v>373</v>
      </c>
      <c r="K96">
        <v>6539</v>
      </c>
      <c r="L96" s="36">
        <v>43900</v>
      </c>
      <c r="M96">
        <v>123.62</v>
      </c>
      <c r="N96">
        <v>6.3</v>
      </c>
      <c r="O96">
        <f t="shared" si="1"/>
        <v>129.92000000000002</v>
      </c>
    </row>
    <row r="97" spans="1:15" hidden="1">
      <c r="A97" t="s">
        <v>410</v>
      </c>
      <c r="B97" t="s">
        <v>411</v>
      </c>
      <c r="C97" t="s">
        <v>191</v>
      </c>
      <c r="D97" t="s">
        <v>192</v>
      </c>
      <c r="E97" t="s">
        <v>193</v>
      </c>
      <c r="F97" t="s">
        <v>194</v>
      </c>
      <c r="G97" t="s">
        <v>378</v>
      </c>
      <c r="H97" t="s">
        <v>196</v>
      </c>
      <c r="I97" t="s">
        <v>197</v>
      </c>
      <c r="J97" t="s">
        <v>379</v>
      </c>
      <c r="K97">
        <v>6604</v>
      </c>
      <c r="L97" s="36">
        <v>43900</v>
      </c>
      <c r="M97">
        <v>22.77</v>
      </c>
      <c r="N97">
        <v>3.12</v>
      </c>
      <c r="O97">
        <f t="shared" si="1"/>
        <v>25.89</v>
      </c>
    </row>
    <row r="98" spans="1:15" hidden="1">
      <c r="A98" t="s">
        <v>412</v>
      </c>
      <c r="B98" t="s">
        <v>413</v>
      </c>
      <c r="C98" t="s">
        <v>191</v>
      </c>
      <c r="D98" t="s">
        <v>192</v>
      </c>
      <c r="E98" t="s">
        <v>193</v>
      </c>
      <c r="F98" t="s">
        <v>414</v>
      </c>
      <c r="G98" t="s">
        <v>415</v>
      </c>
      <c r="H98" t="s">
        <v>196</v>
      </c>
      <c r="I98" t="s">
        <v>197</v>
      </c>
      <c r="J98" t="s">
        <v>415</v>
      </c>
      <c r="K98">
        <v>0</v>
      </c>
      <c r="L98" s="36">
        <v>43907</v>
      </c>
      <c r="M98">
        <v>0.13</v>
      </c>
      <c r="N98">
        <v>0.86</v>
      </c>
      <c r="O98">
        <f t="shared" si="1"/>
        <v>0.99</v>
      </c>
    </row>
    <row r="99" spans="1:15" hidden="1">
      <c r="A99" t="s">
        <v>416</v>
      </c>
      <c r="B99" t="s">
        <v>417</v>
      </c>
      <c r="C99" t="s">
        <v>191</v>
      </c>
      <c r="D99" t="s">
        <v>192</v>
      </c>
      <c r="E99" t="s">
        <v>193</v>
      </c>
      <c r="F99" t="s">
        <v>414</v>
      </c>
      <c r="G99" t="s">
        <v>415</v>
      </c>
      <c r="H99" t="s">
        <v>196</v>
      </c>
      <c r="I99" t="s">
        <v>197</v>
      </c>
      <c r="J99" t="s">
        <v>415</v>
      </c>
      <c r="K99">
        <v>18</v>
      </c>
      <c r="L99" s="36">
        <v>43856</v>
      </c>
      <c r="M99">
        <v>0</v>
      </c>
      <c r="N99">
        <v>0.25</v>
      </c>
      <c r="O99">
        <f t="shared" si="1"/>
        <v>0.25</v>
      </c>
    </row>
    <row r="100" spans="1:15" hidden="1">
      <c r="A100" t="s">
        <v>418</v>
      </c>
      <c r="B100" t="s">
        <v>419</v>
      </c>
      <c r="C100" t="s">
        <v>191</v>
      </c>
      <c r="D100" t="s">
        <v>192</v>
      </c>
      <c r="E100" t="s">
        <v>193</v>
      </c>
      <c r="F100" t="s">
        <v>414</v>
      </c>
      <c r="G100" t="s">
        <v>415</v>
      </c>
      <c r="H100" t="s">
        <v>196</v>
      </c>
      <c r="I100" t="s">
        <v>197</v>
      </c>
      <c r="J100" t="s">
        <v>415</v>
      </c>
      <c r="K100">
        <v>63</v>
      </c>
      <c r="L100" s="36">
        <v>43794</v>
      </c>
      <c r="M100">
        <v>0.73</v>
      </c>
      <c r="N100">
        <v>0.7</v>
      </c>
      <c r="O100">
        <f t="shared" si="1"/>
        <v>1.43</v>
      </c>
    </row>
    <row r="101" spans="1:15" hidden="1">
      <c r="A101" t="s">
        <v>420</v>
      </c>
      <c r="B101" t="s">
        <v>421</v>
      </c>
      <c r="C101" t="s">
        <v>191</v>
      </c>
      <c r="D101" t="s">
        <v>192</v>
      </c>
      <c r="E101" t="s">
        <v>193</v>
      </c>
      <c r="F101" t="s">
        <v>414</v>
      </c>
      <c r="G101" t="s">
        <v>415</v>
      </c>
      <c r="H101" t="s">
        <v>196</v>
      </c>
      <c r="I101" t="s">
        <v>197</v>
      </c>
      <c r="J101" t="s">
        <v>415</v>
      </c>
      <c r="K101">
        <v>42</v>
      </c>
      <c r="L101" s="36">
        <v>43835</v>
      </c>
      <c r="M101">
        <v>0.01</v>
      </c>
      <c r="N101">
        <v>0.37</v>
      </c>
      <c r="O101">
        <f t="shared" si="1"/>
        <v>0.38</v>
      </c>
    </row>
    <row r="102" spans="1:15" hidden="1">
      <c r="A102" t="s">
        <v>422</v>
      </c>
      <c r="B102" t="s">
        <v>423</v>
      </c>
      <c r="C102" t="s">
        <v>191</v>
      </c>
      <c r="D102" t="s">
        <v>192</v>
      </c>
      <c r="E102" t="s">
        <v>193</v>
      </c>
      <c r="F102" t="s">
        <v>414</v>
      </c>
      <c r="G102" t="s">
        <v>415</v>
      </c>
      <c r="H102" t="s">
        <v>196</v>
      </c>
      <c r="I102" t="s">
        <v>197</v>
      </c>
      <c r="J102" t="s">
        <v>415</v>
      </c>
      <c r="K102">
        <v>169</v>
      </c>
      <c r="L102" s="36">
        <v>43875</v>
      </c>
      <c r="M102">
        <v>0.1</v>
      </c>
      <c r="N102">
        <v>1.86</v>
      </c>
      <c r="O102">
        <f t="shared" si="1"/>
        <v>1.9600000000000002</v>
      </c>
    </row>
    <row r="103" spans="1:15" hidden="1">
      <c r="A103" t="s">
        <v>424</v>
      </c>
      <c r="B103" t="s">
        <v>425</v>
      </c>
      <c r="C103" t="s">
        <v>191</v>
      </c>
      <c r="D103" t="s">
        <v>192</v>
      </c>
      <c r="E103" t="s">
        <v>193</v>
      </c>
      <c r="F103" t="s">
        <v>414</v>
      </c>
      <c r="G103" t="s">
        <v>415</v>
      </c>
      <c r="H103" t="s">
        <v>196</v>
      </c>
      <c r="I103" t="s">
        <v>197</v>
      </c>
      <c r="J103" t="s">
        <v>415</v>
      </c>
      <c r="K103">
        <v>49</v>
      </c>
      <c r="L103" s="36">
        <v>43875</v>
      </c>
      <c r="M103">
        <v>0.04</v>
      </c>
      <c r="N103">
        <v>0.55000000000000004</v>
      </c>
      <c r="O103">
        <f t="shared" si="1"/>
        <v>0.59000000000000008</v>
      </c>
    </row>
    <row r="104" spans="1:15" hidden="1">
      <c r="A104" t="s">
        <v>426</v>
      </c>
      <c r="B104" t="s">
        <v>427</v>
      </c>
      <c r="C104" t="s">
        <v>191</v>
      </c>
      <c r="D104" t="s">
        <v>192</v>
      </c>
      <c r="E104" t="s">
        <v>193</v>
      </c>
      <c r="F104" t="s">
        <v>194</v>
      </c>
      <c r="G104" t="s">
        <v>369</v>
      </c>
      <c r="H104" t="s">
        <v>196</v>
      </c>
      <c r="I104" t="s">
        <v>197</v>
      </c>
      <c r="J104" t="s">
        <v>369</v>
      </c>
      <c r="K104">
        <v>150</v>
      </c>
      <c r="L104" s="36">
        <v>43906</v>
      </c>
      <c r="M104">
        <v>2.58</v>
      </c>
      <c r="N104">
        <v>0.42</v>
      </c>
      <c r="O104">
        <f t="shared" si="1"/>
        <v>3</v>
      </c>
    </row>
    <row r="105" spans="1:15" hidden="1">
      <c r="A105" t="s">
        <v>428</v>
      </c>
      <c r="B105" t="s">
        <v>429</v>
      </c>
      <c r="C105" t="s">
        <v>191</v>
      </c>
      <c r="D105" t="s">
        <v>192</v>
      </c>
      <c r="E105" t="s">
        <v>193</v>
      </c>
      <c r="F105" t="s">
        <v>194</v>
      </c>
      <c r="G105" t="s">
        <v>369</v>
      </c>
      <c r="H105" t="s">
        <v>196</v>
      </c>
      <c r="I105" t="s">
        <v>197</v>
      </c>
      <c r="J105" t="s">
        <v>369</v>
      </c>
      <c r="K105">
        <v>26</v>
      </c>
      <c r="L105" s="36">
        <v>43906</v>
      </c>
      <c r="M105">
        <v>57.9</v>
      </c>
      <c r="N105">
        <v>0.7</v>
      </c>
      <c r="O105">
        <f t="shared" si="1"/>
        <v>58.6</v>
      </c>
    </row>
    <row r="106" spans="1:15" hidden="1">
      <c r="A106" t="s">
        <v>430</v>
      </c>
      <c r="B106" t="s">
        <v>431</v>
      </c>
      <c r="C106" t="s">
        <v>191</v>
      </c>
      <c r="D106" t="s">
        <v>192</v>
      </c>
      <c r="E106" t="s">
        <v>193</v>
      </c>
      <c r="F106" t="s">
        <v>194</v>
      </c>
      <c r="G106" t="s">
        <v>369</v>
      </c>
      <c r="H106" t="s">
        <v>196</v>
      </c>
      <c r="I106" t="s">
        <v>197</v>
      </c>
      <c r="J106" t="s">
        <v>369</v>
      </c>
      <c r="K106">
        <v>2810</v>
      </c>
      <c r="L106" s="36">
        <v>43893</v>
      </c>
      <c r="M106">
        <v>20</v>
      </c>
      <c r="N106">
        <v>1.5</v>
      </c>
      <c r="O106">
        <f t="shared" si="1"/>
        <v>21.5</v>
      </c>
    </row>
    <row r="107" spans="1:15" hidden="1">
      <c r="A107" t="s">
        <v>432</v>
      </c>
      <c r="B107" t="s">
        <v>433</v>
      </c>
      <c r="C107" t="s">
        <v>434</v>
      </c>
      <c r="D107" t="s">
        <v>192</v>
      </c>
      <c r="E107" t="s">
        <v>193</v>
      </c>
      <c r="F107" t="s">
        <v>194</v>
      </c>
      <c r="G107" t="s">
        <v>369</v>
      </c>
      <c r="H107" t="s">
        <v>196</v>
      </c>
      <c r="I107" t="s">
        <v>197</v>
      </c>
      <c r="J107" t="s">
        <v>369</v>
      </c>
      <c r="K107">
        <v>5500</v>
      </c>
      <c r="L107" s="36">
        <v>43893</v>
      </c>
      <c r="M107">
        <v>0.99</v>
      </c>
      <c r="N107">
        <v>0.01</v>
      </c>
      <c r="O107">
        <f t="shared" si="1"/>
        <v>1</v>
      </c>
    </row>
    <row r="108" spans="1:15" hidden="1">
      <c r="A108" t="s">
        <v>435</v>
      </c>
      <c r="B108" t="s">
        <v>66</v>
      </c>
      <c r="C108" t="s">
        <v>191</v>
      </c>
      <c r="D108" t="s">
        <v>192</v>
      </c>
      <c r="E108" t="s">
        <v>193</v>
      </c>
      <c r="F108" t="s">
        <v>194</v>
      </c>
      <c r="G108" t="s">
        <v>436</v>
      </c>
      <c r="H108" t="s">
        <v>196</v>
      </c>
      <c r="I108" t="s">
        <v>197</v>
      </c>
      <c r="J108" t="s">
        <v>436</v>
      </c>
      <c r="K108">
        <v>7</v>
      </c>
      <c r="L108" s="36">
        <v>43878</v>
      </c>
      <c r="M108">
        <v>0.11</v>
      </c>
      <c r="N108">
        <v>6.9</v>
      </c>
      <c r="O108">
        <f t="shared" si="1"/>
        <v>7.0100000000000007</v>
      </c>
    </row>
    <row r="109" spans="1:15" hidden="1">
      <c r="A109" t="s">
        <v>437</v>
      </c>
      <c r="B109" t="s">
        <v>438</v>
      </c>
      <c r="C109" t="s">
        <v>191</v>
      </c>
      <c r="D109" t="s">
        <v>192</v>
      </c>
      <c r="E109" t="s">
        <v>193</v>
      </c>
      <c r="F109" t="s">
        <v>194</v>
      </c>
      <c r="G109" t="s">
        <v>436</v>
      </c>
      <c r="H109" t="s">
        <v>196</v>
      </c>
      <c r="I109" t="s">
        <v>197</v>
      </c>
      <c r="J109" t="s">
        <v>436</v>
      </c>
      <c r="K109">
        <v>8</v>
      </c>
      <c r="L109" s="36">
        <v>43899</v>
      </c>
      <c r="M109">
        <v>0.01</v>
      </c>
      <c r="N109">
        <v>0.96</v>
      </c>
      <c r="O109">
        <f t="shared" si="1"/>
        <v>0.97</v>
      </c>
    </row>
    <row r="110" spans="1:15" hidden="1">
      <c r="A110" t="s">
        <v>439</v>
      </c>
      <c r="B110" t="s">
        <v>440</v>
      </c>
      <c r="C110" t="s">
        <v>191</v>
      </c>
      <c r="D110" t="s">
        <v>192</v>
      </c>
      <c r="E110" t="s">
        <v>193</v>
      </c>
      <c r="F110" t="s">
        <v>194</v>
      </c>
      <c r="G110" t="s">
        <v>436</v>
      </c>
      <c r="H110" t="s">
        <v>196</v>
      </c>
      <c r="I110" t="s">
        <v>197</v>
      </c>
      <c r="J110" t="s">
        <v>436</v>
      </c>
      <c r="K110">
        <v>12</v>
      </c>
      <c r="L110" s="36">
        <v>43901</v>
      </c>
      <c r="M110">
        <v>0.03</v>
      </c>
      <c r="N110">
        <v>3.03</v>
      </c>
      <c r="O110">
        <f t="shared" si="1"/>
        <v>3.0599999999999996</v>
      </c>
    </row>
    <row r="111" spans="1:15" hidden="1">
      <c r="A111" t="s">
        <v>441</v>
      </c>
      <c r="B111" t="s">
        <v>442</v>
      </c>
      <c r="C111" t="s">
        <v>191</v>
      </c>
      <c r="D111" t="s">
        <v>192</v>
      </c>
      <c r="E111" t="s">
        <v>193</v>
      </c>
      <c r="F111" t="s">
        <v>194</v>
      </c>
      <c r="G111" t="s">
        <v>436</v>
      </c>
      <c r="H111" t="s">
        <v>196</v>
      </c>
      <c r="I111" t="s">
        <v>197</v>
      </c>
      <c r="J111" t="s">
        <v>436</v>
      </c>
      <c r="K111">
        <v>5</v>
      </c>
      <c r="L111" s="36">
        <v>43867</v>
      </c>
      <c r="M111">
        <v>0.04</v>
      </c>
      <c r="N111">
        <v>3.85</v>
      </c>
      <c r="O111">
        <f t="shared" si="1"/>
        <v>3.89</v>
      </c>
    </row>
    <row r="112" spans="1:15" hidden="1">
      <c r="A112" t="s">
        <v>443</v>
      </c>
      <c r="B112" t="s">
        <v>444</v>
      </c>
      <c r="C112" t="s">
        <v>191</v>
      </c>
      <c r="D112" t="s">
        <v>192</v>
      </c>
      <c r="E112" t="s">
        <v>193</v>
      </c>
      <c r="F112" t="s">
        <v>194</v>
      </c>
      <c r="G112" t="s">
        <v>436</v>
      </c>
      <c r="H112" t="s">
        <v>196</v>
      </c>
      <c r="I112" t="s">
        <v>197</v>
      </c>
      <c r="J112" t="s">
        <v>436</v>
      </c>
      <c r="K112">
        <v>5</v>
      </c>
      <c r="L112" s="36">
        <v>43869</v>
      </c>
      <c r="M112">
        <v>0.02</v>
      </c>
      <c r="N112">
        <v>2.98</v>
      </c>
      <c r="O112">
        <f t="shared" si="1"/>
        <v>3</v>
      </c>
    </row>
    <row r="113" spans="1:15" hidden="1">
      <c r="A113" t="s">
        <v>443</v>
      </c>
      <c r="B113" t="s">
        <v>444</v>
      </c>
      <c r="C113" t="s">
        <v>191</v>
      </c>
      <c r="D113" t="s">
        <v>192</v>
      </c>
      <c r="E113" t="s">
        <v>193</v>
      </c>
      <c r="F113" t="s">
        <v>194</v>
      </c>
      <c r="G113" t="s">
        <v>436</v>
      </c>
      <c r="H113" t="s">
        <v>196</v>
      </c>
      <c r="I113" t="s">
        <v>197</v>
      </c>
      <c r="J113" t="s">
        <v>436</v>
      </c>
      <c r="K113">
        <v>5</v>
      </c>
      <c r="L113" s="36">
        <v>43869</v>
      </c>
      <c r="M113">
        <v>0.02</v>
      </c>
      <c r="N113">
        <v>2.98</v>
      </c>
      <c r="O113">
        <f t="shared" si="1"/>
        <v>3</v>
      </c>
    </row>
    <row r="114" spans="1:15" hidden="1">
      <c r="A114" t="s">
        <v>445</v>
      </c>
      <c r="B114" t="s">
        <v>446</v>
      </c>
      <c r="C114" t="s">
        <v>191</v>
      </c>
      <c r="D114" t="s">
        <v>192</v>
      </c>
      <c r="E114" t="s">
        <v>193</v>
      </c>
      <c r="F114" t="s">
        <v>194</v>
      </c>
      <c r="G114" t="s">
        <v>436</v>
      </c>
      <c r="H114" t="s">
        <v>196</v>
      </c>
      <c r="I114" t="s">
        <v>197</v>
      </c>
      <c r="J114" t="s">
        <v>436</v>
      </c>
      <c r="K114">
        <v>7</v>
      </c>
      <c r="L114" s="36">
        <v>43857</v>
      </c>
      <c r="M114">
        <v>0.12</v>
      </c>
      <c r="N114">
        <v>1.91</v>
      </c>
      <c r="O114">
        <f t="shared" si="1"/>
        <v>2.0299999999999998</v>
      </c>
    </row>
    <row r="115" spans="1:15" hidden="1">
      <c r="A115" t="s">
        <v>447</v>
      </c>
      <c r="B115" t="s">
        <v>448</v>
      </c>
      <c r="C115" t="s">
        <v>191</v>
      </c>
      <c r="D115" t="s">
        <v>192</v>
      </c>
      <c r="E115" t="s">
        <v>193</v>
      </c>
      <c r="F115" t="s">
        <v>194</v>
      </c>
      <c r="G115" t="s">
        <v>436</v>
      </c>
      <c r="H115" t="s">
        <v>196</v>
      </c>
      <c r="I115" t="s">
        <v>197</v>
      </c>
      <c r="J115" t="s">
        <v>436</v>
      </c>
      <c r="K115">
        <v>5</v>
      </c>
      <c r="L115" s="36">
        <v>43838</v>
      </c>
      <c r="M115">
        <v>0.22</v>
      </c>
      <c r="N115">
        <v>0.56000000000000005</v>
      </c>
      <c r="O115">
        <f t="shared" si="1"/>
        <v>0.78</v>
      </c>
    </row>
    <row r="116" spans="1:15" hidden="1">
      <c r="A116" t="s">
        <v>449</v>
      </c>
      <c r="B116" t="s">
        <v>145</v>
      </c>
      <c r="C116" t="s">
        <v>191</v>
      </c>
      <c r="D116" t="s">
        <v>192</v>
      </c>
      <c r="E116" t="s">
        <v>193</v>
      </c>
      <c r="F116" t="s">
        <v>194</v>
      </c>
      <c r="G116" t="s">
        <v>436</v>
      </c>
      <c r="H116" t="s">
        <v>196</v>
      </c>
      <c r="I116" t="s">
        <v>197</v>
      </c>
      <c r="J116" t="s">
        <v>436</v>
      </c>
      <c r="K116">
        <v>5</v>
      </c>
      <c r="L116" s="36">
        <v>43903</v>
      </c>
      <c r="M116">
        <v>6.91</v>
      </c>
      <c r="N116">
        <v>3.25</v>
      </c>
      <c r="O116">
        <f t="shared" si="1"/>
        <v>10.16</v>
      </c>
    </row>
    <row r="117" spans="1:15" hidden="1">
      <c r="A117" t="s">
        <v>450</v>
      </c>
      <c r="B117" t="s">
        <v>89</v>
      </c>
      <c r="C117" t="s">
        <v>191</v>
      </c>
      <c r="D117" t="s">
        <v>192</v>
      </c>
      <c r="E117" t="s">
        <v>193</v>
      </c>
      <c r="F117" t="s">
        <v>194</v>
      </c>
      <c r="G117" t="s">
        <v>436</v>
      </c>
      <c r="H117" t="s">
        <v>196</v>
      </c>
      <c r="I117" t="s">
        <v>197</v>
      </c>
      <c r="J117" t="s">
        <v>436</v>
      </c>
      <c r="K117">
        <v>6</v>
      </c>
      <c r="L117" s="36">
        <v>43857</v>
      </c>
      <c r="M117">
        <v>3.72</v>
      </c>
      <c r="N117">
        <v>2.68</v>
      </c>
      <c r="O117">
        <f t="shared" si="1"/>
        <v>6.4</v>
      </c>
    </row>
    <row r="118" spans="1:15" hidden="1">
      <c r="A118" t="s">
        <v>451</v>
      </c>
      <c r="B118" t="s">
        <v>452</v>
      </c>
      <c r="C118" t="s">
        <v>191</v>
      </c>
      <c r="D118" t="s">
        <v>192</v>
      </c>
      <c r="E118" t="s">
        <v>193</v>
      </c>
      <c r="F118" t="s">
        <v>194</v>
      </c>
      <c r="G118" t="s">
        <v>436</v>
      </c>
      <c r="H118" t="s">
        <v>196</v>
      </c>
      <c r="I118" t="s">
        <v>197</v>
      </c>
      <c r="J118" t="s">
        <v>436</v>
      </c>
      <c r="K118">
        <v>5</v>
      </c>
      <c r="L118" s="36">
        <v>43868</v>
      </c>
      <c r="M118">
        <v>0.27</v>
      </c>
      <c r="N118">
        <v>2.5299999999999998</v>
      </c>
      <c r="O118">
        <f t="shared" si="1"/>
        <v>2.8</v>
      </c>
    </row>
    <row r="119" spans="1:15" hidden="1">
      <c r="A119" t="s">
        <v>453</v>
      </c>
      <c r="B119" t="s">
        <v>454</v>
      </c>
      <c r="C119" t="s">
        <v>191</v>
      </c>
      <c r="D119" t="s">
        <v>192</v>
      </c>
      <c r="E119" t="s">
        <v>193</v>
      </c>
      <c r="F119" t="s">
        <v>194</v>
      </c>
      <c r="G119" t="s">
        <v>436</v>
      </c>
      <c r="H119" t="s">
        <v>196</v>
      </c>
      <c r="I119" t="s">
        <v>197</v>
      </c>
      <c r="J119" t="s">
        <v>436</v>
      </c>
      <c r="K119">
        <v>3</v>
      </c>
      <c r="L119" s="36">
        <v>43621</v>
      </c>
      <c r="M119">
        <v>0.03</v>
      </c>
      <c r="N119">
        <v>0.8</v>
      </c>
      <c r="O119">
        <f t="shared" si="1"/>
        <v>0.83000000000000007</v>
      </c>
    </row>
    <row r="120" spans="1:15" hidden="1">
      <c r="A120" t="s">
        <v>455</v>
      </c>
      <c r="B120" t="s">
        <v>456</v>
      </c>
      <c r="C120" t="s">
        <v>191</v>
      </c>
      <c r="D120" t="s">
        <v>192</v>
      </c>
      <c r="E120" t="s">
        <v>193</v>
      </c>
      <c r="F120" t="s">
        <v>194</v>
      </c>
      <c r="G120" t="s">
        <v>436</v>
      </c>
      <c r="H120" t="s">
        <v>196</v>
      </c>
      <c r="I120" t="s">
        <v>197</v>
      </c>
      <c r="J120" t="s">
        <v>436</v>
      </c>
      <c r="K120">
        <v>5</v>
      </c>
      <c r="L120" s="36">
        <v>43838</v>
      </c>
      <c r="M120">
        <v>0.04</v>
      </c>
      <c r="N120">
        <v>1.52</v>
      </c>
      <c r="O120">
        <f t="shared" si="1"/>
        <v>1.56</v>
      </c>
    </row>
    <row r="121" spans="1:15" hidden="1">
      <c r="A121" t="s">
        <v>457</v>
      </c>
      <c r="B121" t="s">
        <v>458</v>
      </c>
      <c r="C121" t="s">
        <v>191</v>
      </c>
      <c r="D121" t="s">
        <v>192</v>
      </c>
      <c r="E121" t="s">
        <v>193</v>
      </c>
      <c r="F121" t="s">
        <v>194</v>
      </c>
      <c r="G121" t="s">
        <v>436</v>
      </c>
      <c r="H121" t="s">
        <v>196</v>
      </c>
      <c r="I121" t="s">
        <v>197</v>
      </c>
      <c r="J121" t="s">
        <v>436</v>
      </c>
      <c r="K121">
        <v>6</v>
      </c>
      <c r="L121" s="36">
        <v>43892</v>
      </c>
      <c r="M121">
        <v>0.15</v>
      </c>
      <c r="N121">
        <v>8.98</v>
      </c>
      <c r="O121">
        <f t="shared" si="1"/>
        <v>9.1300000000000008</v>
      </c>
    </row>
    <row r="122" spans="1:15" hidden="1">
      <c r="A122" t="s">
        <v>459</v>
      </c>
      <c r="B122" t="s">
        <v>460</v>
      </c>
      <c r="C122" t="s">
        <v>191</v>
      </c>
      <c r="D122" t="s">
        <v>192</v>
      </c>
      <c r="E122" t="s">
        <v>193</v>
      </c>
      <c r="F122" t="s">
        <v>194</v>
      </c>
      <c r="G122" t="s">
        <v>436</v>
      </c>
      <c r="H122" t="s">
        <v>196</v>
      </c>
      <c r="I122" t="s">
        <v>197</v>
      </c>
      <c r="J122" t="s">
        <v>436</v>
      </c>
      <c r="K122">
        <v>5</v>
      </c>
      <c r="L122" s="36">
        <v>43893</v>
      </c>
      <c r="M122">
        <v>0.62</v>
      </c>
      <c r="N122">
        <v>1.6</v>
      </c>
      <c r="O122">
        <f t="shared" si="1"/>
        <v>2.2200000000000002</v>
      </c>
    </row>
    <row r="123" spans="1:15" hidden="1">
      <c r="A123" t="s">
        <v>461</v>
      </c>
      <c r="B123" t="s">
        <v>462</v>
      </c>
      <c r="C123" t="s">
        <v>191</v>
      </c>
      <c r="D123" t="s">
        <v>192</v>
      </c>
      <c r="E123" t="s">
        <v>193</v>
      </c>
      <c r="F123" t="s">
        <v>194</v>
      </c>
      <c r="G123" t="s">
        <v>436</v>
      </c>
      <c r="H123" t="s">
        <v>196</v>
      </c>
      <c r="I123" t="s">
        <v>197</v>
      </c>
      <c r="J123" t="s">
        <v>436</v>
      </c>
      <c r="K123">
        <v>9</v>
      </c>
      <c r="L123" s="36">
        <v>43844</v>
      </c>
      <c r="M123">
        <v>0.49</v>
      </c>
      <c r="N123">
        <v>1.73</v>
      </c>
      <c r="O123">
        <f t="shared" si="1"/>
        <v>2.2199999999999998</v>
      </c>
    </row>
    <row r="124" spans="1:15" hidden="1">
      <c r="A124" t="s">
        <v>463</v>
      </c>
      <c r="B124" t="s">
        <v>464</v>
      </c>
      <c r="C124" t="s">
        <v>191</v>
      </c>
      <c r="D124" t="s">
        <v>192</v>
      </c>
      <c r="E124" t="s">
        <v>193</v>
      </c>
      <c r="F124" t="s">
        <v>194</v>
      </c>
      <c r="G124" t="s">
        <v>436</v>
      </c>
      <c r="H124" t="s">
        <v>196</v>
      </c>
      <c r="I124" t="s">
        <v>197</v>
      </c>
      <c r="J124" t="s">
        <v>436</v>
      </c>
      <c r="K124">
        <v>5</v>
      </c>
      <c r="L124" s="36">
        <v>43878</v>
      </c>
      <c r="M124">
        <v>0.08</v>
      </c>
      <c r="N124">
        <v>3.05</v>
      </c>
      <c r="O124">
        <f t="shared" si="1"/>
        <v>3.13</v>
      </c>
    </row>
    <row r="125" spans="1:15" hidden="1">
      <c r="A125" t="s">
        <v>465</v>
      </c>
      <c r="B125" t="s">
        <v>466</v>
      </c>
      <c r="C125" t="s">
        <v>191</v>
      </c>
      <c r="D125" t="s">
        <v>192</v>
      </c>
      <c r="E125" t="s">
        <v>193</v>
      </c>
      <c r="F125" t="s">
        <v>194</v>
      </c>
      <c r="G125" t="s">
        <v>436</v>
      </c>
      <c r="H125" t="s">
        <v>196</v>
      </c>
      <c r="I125" t="s">
        <v>197</v>
      </c>
      <c r="J125" t="s">
        <v>436</v>
      </c>
      <c r="K125">
        <v>5</v>
      </c>
      <c r="L125" s="36">
        <v>43889</v>
      </c>
      <c r="M125">
        <v>0.12</v>
      </c>
      <c r="N125">
        <v>4.0199999999999996</v>
      </c>
      <c r="O125">
        <f t="shared" si="1"/>
        <v>4.1399999999999997</v>
      </c>
    </row>
    <row r="126" spans="1:15" hidden="1">
      <c r="A126" t="s">
        <v>467</v>
      </c>
      <c r="B126" t="s">
        <v>468</v>
      </c>
      <c r="C126" t="s">
        <v>191</v>
      </c>
      <c r="D126" t="s">
        <v>192</v>
      </c>
      <c r="E126" t="s">
        <v>193</v>
      </c>
      <c r="F126" t="s">
        <v>194</v>
      </c>
      <c r="G126" t="s">
        <v>436</v>
      </c>
      <c r="H126" t="s">
        <v>196</v>
      </c>
      <c r="I126" t="s">
        <v>197</v>
      </c>
      <c r="J126" t="s">
        <v>436</v>
      </c>
      <c r="K126">
        <v>5</v>
      </c>
      <c r="L126" s="36">
        <v>43869</v>
      </c>
      <c r="M126">
        <v>12.57</v>
      </c>
      <c r="N126">
        <v>4.8499999999999996</v>
      </c>
      <c r="O126">
        <f t="shared" si="1"/>
        <v>17.420000000000002</v>
      </c>
    </row>
    <row r="127" spans="1:15" hidden="1">
      <c r="A127" t="s">
        <v>469</v>
      </c>
      <c r="B127" t="s">
        <v>470</v>
      </c>
      <c r="C127" t="s">
        <v>191</v>
      </c>
      <c r="D127" t="s">
        <v>192</v>
      </c>
      <c r="E127" t="s">
        <v>193</v>
      </c>
      <c r="F127" t="s">
        <v>194</v>
      </c>
      <c r="G127" t="s">
        <v>436</v>
      </c>
      <c r="H127" t="s">
        <v>196</v>
      </c>
      <c r="I127" t="s">
        <v>197</v>
      </c>
      <c r="J127" t="s">
        <v>436</v>
      </c>
      <c r="K127">
        <v>5</v>
      </c>
      <c r="L127" s="36">
        <v>43899</v>
      </c>
      <c r="M127">
        <v>0.05</v>
      </c>
      <c r="N127">
        <v>3.37</v>
      </c>
      <c r="O127">
        <f t="shared" si="1"/>
        <v>3.42</v>
      </c>
    </row>
    <row r="128" spans="1:15" hidden="1">
      <c r="A128" t="s">
        <v>471</v>
      </c>
      <c r="B128" t="s">
        <v>472</v>
      </c>
      <c r="C128" t="s">
        <v>232</v>
      </c>
      <c r="D128" t="s">
        <v>192</v>
      </c>
      <c r="E128" t="s">
        <v>193</v>
      </c>
      <c r="F128" t="s">
        <v>194</v>
      </c>
      <c r="G128" t="s">
        <v>306</v>
      </c>
      <c r="H128" t="s">
        <v>196</v>
      </c>
      <c r="I128" t="s">
        <v>197</v>
      </c>
      <c r="J128" t="s">
        <v>309</v>
      </c>
      <c r="K128">
        <v>5</v>
      </c>
      <c r="L128" s="36">
        <v>43869</v>
      </c>
      <c r="M128">
        <v>16.29</v>
      </c>
      <c r="N128">
        <v>1.86</v>
      </c>
      <c r="O128">
        <f t="shared" si="1"/>
        <v>18.149999999999999</v>
      </c>
    </row>
    <row r="129" spans="1:15" hidden="1">
      <c r="A129" t="s">
        <v>473</v>
      </c>
      <c r="B129" t="s">
        <v>474</v>
      </c>
      <c r="C129" t="s">
        <v>191</v>
      </c>
      <c r="D129" t="s">
        <v>192</v>
      </c>
      <c r="E129" t="s">
        <v>193</v>
      </c>
      <c r="F129" t="s">
        <v>194</v>
      </c>
      <c r="G129" t="s">
        <v>369</v>
      </c>
      <c r="H129" t="s">
        <v>196</v>
      </c>
      <c r="I129" t="s">
        <v>197</v>
      </c>
      <c r="J129" t="s">
        <v>369</v>
      </c>
      <c r="K129">
        <v>400</v>
      </c>
      <c r="L129" s="36">
        <v>43893</v>
      </c>
      <c r="M129">
        <v>10.8</v>
      </c>
      <c r="N129">
        <v>1.2</v>
      </c>
      <c r="O129">
        <f t="shared" si="1"/>
        <v>12</v>
      </c>
    </row>
    <row r="130" spans="1:15" hidden="1">
      <c r="A130" t="s">
        <v>475</v>
      </c>
      <c r="B130" t="s">
        <v>476</v>
      </c>
      <c r="C130" t="s">
        <v>269</v>
      </c>
      <c r="D130" t="s">
        <v>192</v>
      </c>
      <c r="E130" t="s">
        <v>193</v>
      </c>
      <c r="F130" t="s">
        <v>194</v>
      </c>
      <c r="G130" t="s">
        <v>369</v>
      </c>
      <c r="H130" t="s">
        <v>196</v>
      </c>
      <c r="I130" t="s">
        <v>197</v>
      </c>
      <c r="J130" t="s">
        <v>369</v>
      </c>
      <c r="K130">
        <v>2000</v>
      </c>
      <c r="L130" s="36">
        <v>43893</v>
      </c>
      <c r="M130">
        <v>191.09</v>
      </c>
      <c r="N130">
        <v>2.86</v>
      </c>
      <c r="O130">
        <f t="shared" si="1"/>
        <v>193.95000000000002</v>
      </c>
    </row>
    <row r="131" spans="1:15" hidden="1">
      <c r="A131" t="s">
        <v>477</v>
      </c>
      <c r="B131" t="s">
        <v>478</v>
      </c>
      <c r="C131" t="s">
        <v>232</v>
      </c>
      <c r="D131" t="s">
        <v>192</v>
      </c>
      <c r="E131" t="s">
        <v>193</v>
      </c>
      <c r="F131" t="s">
        <v>201</v>
      </c>
      <c r="G131" t="s">
        <v>233</v>
      </c>
      <c r="H131" t="s">
        <v>196</v>
      </c>
      <c r="I131" t="s">
        <v>197</v>
      </c>
      <c r="J131" t="s">
        <v>234</v>
      </c>
      <c r="K131">
        <v>490.62</v>
      </c>
      <c r="L131" s="36">
        <v>43874</v>
      </c>
      <c r="M131">
        <v>22.91</v>
      </c>
      <c r="N131">
        <v>2.34</v>
      </c>
      <c r="O131">
        <f t="shared" ref="O131:O194" si="2">M131+N131</f>
        <v>25.25</v>
      </c>
    </row>
    <row r="132" spans="1:15" hidden="1">
      <c r="A132" t="s">
        <v>479</v>
      </c>
      <c r="B132" t="s">
        <v>480</v>
      </c>
      <c r="C132" t="s">
        <v>191</v>
      </c>
      <c r="D132" t="s">
        <v>192</v>
      </c>
      <c r="E132" t="s">
        <v>193</v>
      </c>
      <c r="F132" t="s">
        <v>201</v>
      </c>
      <c r="G132" t="s">
        <v>212</v>
      </c>
      <c r="H132" t="s">
        <v>196</v>
      </c>
      <c r="I132" t="s">
        <v>197</v>
      </c>
      <c r="J132" t="s">
        <v>203</v>
      </c>
      <c r="K132">
        <v>936</v>
      </c>
      <c r="L132" s="36">
        <v>43789</v>
      </c>
      <c r="M132">
        <v>7.21</v>
      </c>
      <c r="N132">
        <v>1.1000000000000001</v>
      </c>
      <c r="O132">
        <f t="shared" si="2"/>
        <v>8.31</v>
      </c>
    </row>
    <row r="133" spans="1:15" hidden="1">
      <c r="A133" t="s">
        <v>481</v>
      </c>
      <c r="B133" t="s">
        <v>482</v>
      </c>
      <c r="C133" t="s">
        <v>191</v>
      </c>
      <c r="D133" t="s">
        <v>192</v>
      </c>
      <c r="E133" t="s">
        <v>193</v>
      </c>
      <c r="F133" t="s">
        <v>201</v>
      </c>
      <c r="G133" t="s">
        <v>233</v>
      </c>
      <c r="H133" t="s">
        <v>196</v>
      </c>
      <c r="I133" t="s">
        <v>197</v>
      </c>
      <c r="J133" t="s">
        <v>234</v>
      </c>
      <c r="K133">
        <v>238.8</v>
      </c>
      <c r="L133" s="36">
        <v>43907</v>
      </c>
      <c r="M133">
        <v>67.2</v>
      </c>
      <c r="N133">
        <v>7.0000000000000007E-2</v>
      </c>
      <c r="O133">
        <f t="shared" si="2"/>
        <v>67.27</v>
      </c>
    </row>
    <row r="134" spans="1:15" hidden="1">
      <c r="A134" t="s">
        <v>483</v>
      </c>
      <c r="B134" t="s">
        <v>484</v>
      </c>
      <c r="C134" t="s">
        <v>191</v>
      </c>
      <c r="D134" t="s">
        <v>192</v>
      </c>
      <c r="E134" t="s">
        <v>193</v>
      </c>
      <c r="F134" t="s">
        <v>194</v>
      </c>
      <c r="G134" t="s">
        <v>369</v>
      </c>
      <c r="H134" t="s">
        <v>196</v>
      </c>
      <c r="I134" t="s">
        <v>197</v>
      </c>
      <c r="J134" t="s">
        <v>369</v>
      </c>
      <c r="K134">
        <v>6000</v>
      </c>
      <c r="L134" s="36">
        <v>43893</v>
      </c>
      <c r="M134">
        <v>33.25</v>
      </c>
      <c r="N134">
        <v>4.7300000000000004</v>
      </c>
      <c r="O134">
        <f t="shared" si="2"/>
        <v>37.980000000000004</v>
      </c>
    </row>
    <row r="135" spans="1:15" hidden="1">
      <c r="A135" t="s">
        <v>485</v>
      </c>
      <c r="B135" t="s">
        <v>486</v>
      </c>
      <c r="C135" t="s">
        <v>191</v>
      </c>
      <c r="D135" t="s">
        <v>192</v>
      </c>
      <c r="E135" t="s">
        <v>193</v>
      </c>
      <c r="F135" t="s">
        <v>194</v>
      </c>
      <c r="G135" t="s">
        <v>372</v>
      </c>
      <c r="H135" t="s">
        <v>196</v>
      </c>
      <c r="I135" t="s">
        <v>197</v>
      </c>
      <c r="J135" t="s">
        <v>373</v>
      </c>
      <c r="K135">
        <v>2055</v>
      </c>
      <c r="L135" s="36">
        <v>43907</v>
      </c>
      <c r="M135">
        <v>18.79</v>
      </c>
      <c r="N135">
        <v>1.8</v>
      </c>
      <c r="O135">
        <f t="shared" si="2"/>
        <v>20.59</v>
      </c>
    </row>
    <row r="136" spans="1:15" hidden="1">
      <c r="A136" t="s">
        <v>487</v>
      </c>
      <c r="B136" t="s">
        <v>95</v>
      </c>
      <c r="C136" t="s">
        <v>191</v>
      </c>
      <c r="D136" t="s">
        <v>192</v>
      </c>
      <c r="E136" t="s">
        <v>193</v>
      </c>
      <c r="F136" t="s">
        <v>194</v>
      </c>
      <c r="G136" t="s">
        <v>369</v>
      </c>
      <c r="H136" t="s">
        <v>196</v>
      </c>
      <c r="I136" t="s">
        <v>197</v>
      </c>
      <c r="J136" t="s">
        <v>369</v>
      </c>
      <c r="K136">
        <v>2700</v>
      </c>
      <c r="L136" s="36">
        <v>43893</v>
      </c>
      <c r="M136">
        <v>56.84</v>
      </c>
      <c r="N136">
        <v>1.1599999999999999</v>
      </c>
      <c r="O136">
        <f t="shared" si="2"/>
        <v>58</v>
      </c>
    </row>
    <row r="137" spans="1:15" hidden="1">
      <c r="A137" t="s">
        <v>488</v>
      </c>
      <c r="B137" t="s">
        <v>489</v>
      </c>
      <c r="C137" t="s">
        <v>191</v>
      </c>
      <c r="D137" t="s">
        <v>192</v>
      </c>
      <c r="E137" t="s">
        <v>193</v>
      </c>
      <c r="F137" t="s">
        <v>194</v>
      </c>
      <c r="G137" t="s">
        <v>372</v>
      </c>
      <c r="H137" t="s">
        <v>196</v>
      </c>
      <c r="I137" t="s">
        <v>197</v>
      </c>
      <c r="J137" t="s">
        <v>373</v>
      </c>
      <c r="K137">
        <v>2637</v>
      </c>
      <c r="L137" s="36">
        <v>43907</v>
      </c>
      <c r="M137">
        <v>34.9</v>
      </c>
      <c r="N137">
        <v>4.46</v>
      </c>
      <c r="O137">
        <f t="shared" si="2"/>
        <v>39.36</v>
      </c>
    </row>
    <row r="138" spans="1:15" hidden="1">
      <c r="A138" t="s">
        <v>490</v>
      </c>
      <c r="B138" t="s">
        <v>491</v>
      </c>
      <c r="C138" t="s">
        <v>191</v>
      </c>
      <c r="D138" t="s">
        <v>192</v>
      </c>
      <c r="E138" t="s">
        <v>193</v>
      </c>
      <c r="F138" t="s">
        <v>414</v>
      </c>
      <c r="G138" t="s">
        <v>415</v>
      </c>
      <c r="H138" t="s">
        <v>196</v>
      </c>
      <c r="I138" t="s">
        <v>197</v>
      </c>
      <c r="J138" t="s">
        <v>415</v>
      </c>
      <c r="K138">
        <v>96</v>
      </c>
      <c r="L138" s="36">
        <v>43907</v>
      </c>
      <c r="M138">
        <v>0.01</v>
      </c>
      <c r="N138">
        <v>1.07</v>
      </c>
      <c r="O138">
        <f t="shared" si="2"/>
        <v>1.08</v>
      </c>
    </row>
    <row r="139" spans="1:15" hidden="1">
      <c r="A139" t="s">
        <v>492</v>
      </c>
      <c r="B139" t="s">
        <v>493</v>
      </c>
      <c r="C139" t="s">
        <v>191</v>
      </c>
      <c r="D139" t="s">
        <v>192</v>
      </c>
      <c r="E139" t="s">
        <v>193</v>
      </c>
      <c r="F139" t="s">
        <v>194</v>
      </c>
      <c r="G139" t="s">
        <v>369</v>
      </c>
      <c r="H139" t="s">
        <v>196</v>
      </c>
      <c r="I139" t="s">
        <v>197</v>
      </c>
      <c r="J139" t="s">
        <v>369</v>
      </c>
      <c r="K139">
        <v>6700</v>
      </c>
      <c r="L139" s="36">
        <v>43893</v>
      </c>
      <c r="M139">
        <v>42.75</v>
      </c>
      <c r="N139">
        <v>2.2400000000000002</v>
      </c>
      <c r="O139">
        <f t="shared" si="2"/>
        <v>44.99</v>
      </c>
    </row>
    <row r="140" spans="1:15" hidden="1">
      <c r="A140" t="s">
        <v>494</v>
      </c>
      <c r="B140" t="s">
        <v>495</v>
      </c>
      <c r="C140" t="s">
        <v>211</v>
      </c>
      <c r="D140" t="s">
        <v>192</v>
      </c>
      <c r="E140" t="s">
        <v>193</v>
      </c>
      <c r="F140" t="s">
        <v>194</v>
      </c>
      <c r="G140" t="s">
        <v>300</v>
      </c>
      <c r="H140" t="s">
        <v>196</v>
      </c>
      <c r="I140" t="s">
        <v>197</v>
      </c>
      <c r="J140" t="s">
        <v>496</v>
      </c>
      <c r="K140">
        <v>0</v>
      </c>
      <c r="L140" s="36">
        <v>43874</v>
      </c>
      <c r="M140">
        <v>0</v>
      </c>
      <c r="N140">
        <v>0</v>
      </c>
      <c r="O140">
        <f t="shared" si="2"/>
        <v>0</v>
      </c>
    </row>
    <row r="141" spans="1:15" hidden="1">
      <c r="A141" t="s">
        <v>497</v>
      </c>
      <c r="B141" t="s">
        <v>498</v>
      </c>
      <c r="C141" t="s">
        <v>211</v>
      </c>
      <c r="D141" t="s">
        <v>192</v>
      </c>
      <c r="E141" t="s">
        <v>193</v>
      </c>
      <c r="F141" t="s">
        <v>194</v>
      </c>
      <c r="G141" t="s">
        <v>300</v>
      </c>
      <c r="H141" t="s">
        <v>196</v>
      </c>
      <c r="I141" t="s">
        <v>197</v>
      </c>
      <c r="J141" t="s">
        <v>496</v>
      </c>
      <c r="K141">
        <v>0</v>
      </c>
      <c r="L141" s="36">
        <v>43874</v>
      </c>
      <c r="M141">
        <v>0</v>
      </c>
      <c r="N141">
        <v>0</v>
      </c>
      <c r="O141">
        <f t="shared" si="2"/>
        <v>0</v>
      </c>
    </row>
    <row r="142" spans="1:15" hidden="1">
      <c r="A142" t="s">
        <v>499</v>
      </c>
      <c r="B142" t="s">
        <v>141</v>
      </c>
      <c r="C142" t="s">
        <v>191</v>
      </c>
      <c r="D142" t="s">
        <v>192</v>
      </c>
      <c r="E142" t="s">
        <v>193</v>
      </c>
      <c r="F142" t="s">
        <v>201</v>
      </c>
      <c r="G142" t="s">
        <v>212</v>
      </c>
      <c r="H142" t="s">
        <v>196</v>
      </c>
      <c r="I142" t="s">
        <v>197</v>
      </c>
      <c r="J142" t="s">
        <v>203</v>
      </c>
      <c r="K142">
        <v>3807.2</v>
      </c>
      <c r="L142" s="36">
        <v>43783</v>
      </c>
      <c r="M142">
        <v>1.86</v>
      </c>
      <c r="N142">
        <v>1.08</v>
      </c>
      <c r="O142">
        <f t="shared" si="2"/>
        <v>2.9400000000000004</v>
      </c>
    </row>
    <row r="143" spans="1:15" hidden="1">
      <c r="A143" t="s">
        <v>500</v>
      </c>
      <c r="B143" t="s">
        <v>501</v>
      </c>
      <c r="C143" t="s">
        <v>191</v>
      </c>
      <c r="D143" t="s">
        <v>192</v>
      </c>
      <c r="E143" t="s">
        <v>193</v>
      </c>
      <c r="F143" t="s">
        <v>201</v>
      </c>
      <c r="G143" t="s">
        <v>212</v>
      </c>
      <c r="H143" t="s">
        <v>196</v>
      </c>
      <c r="I143" t="s">
        <v>197</v>
      </c>
      <c r="J143" t="s">
        <v>203</v>
      </c>
      <c r="K143">
        <v>809.83</v>
      </c>
      <c r="L143" s="36">
        <v>43774</v>
      </c>
      <c r="M143">
        <v>3.3</v>
      </c>
      <c r="N143">
        <v>1.49</v>
      </c>
      <c r="O143">
        <f t="shared" si="2"/>
        <v>4.79</v>
      </c>
    </row>
    <row r="144" spans="1:15" hidden="1">
      <c r="A144" t="s">
        <v>502</v>
      </c>
      <c r="B144" t="s">
        <v>503</v>
      </c>
      <c r="C144" t="s">
        <v>191</v>
      </c>
      <c r="D144" t="s">
        <v>192</v>
      </c>
      <c r="E144" t="s">
        <v>193</v>
      </c>
      <c r="F144" t="s">
        <v>201</v>
      </c>
      <c r="G144" t="s">
        <v>212</v>
      </c>
      <c r="H144" t="s">
        <v>196</v>
      </c>
      <c r="I144" t="s">
        <v>197</v>
      </c>
      <c r="J144" t="s">
        <v>203</v>
      </c>
      <c r="K144">
        <v>2928</v>
      </c>
      <c r="L144" s="36">
        <v>43848</v>
      </c>
      <c r="M144">
        <v>6.86</v>
      </c>
      <c r="N144">
        <v>2.2799999999999998</v>
      </c>
      <c r="O144">
        <f t="shared" si="2"/>
        <v>9.14</v>
      </c>
    </row>
    <row r="145" spans="1:15" hidden="1">
      <c r="A145" t="s">
        <v>504</v>
      </c>
      <c r="B145" t="s">
        <v>137</v>
      </c>
      <c r="C145" t="s">
        <v>191</v>
      </c>
      <c r="D145" t="s">
        <v>192</v>
      </c>
      <c r="E145" t="s">
        <v>193</v>
      </c>
      <c r="F145" t="s">
        <v>201</v>
      </c>
      <c r="G145" t="s">
        <v>233</v>
      </c>
      <c r="H145" t="s">
        <v>196</v>
      </c>
      <c r="I145" t="s">
        <v>197</v>
      </c>
      <c r="J145" t="s">
        <v>234</v>
      </c>
      <c r="K145">
        <v>123.13</v>
      </c>
      <c r="L145" s="36">
        <v>43854</v>
      </c>
      <c r="M145">
        <v>56.25</v>
      </c>
      <c r="N145">
        <v>2.79</v>
      </c>
      <c r="O145">
        <f t="shared" si="2"/>
        <v>59.04</v>
      </c>
    </row>
    <row r="146" spans="1:15" hidden="1">
      <c r="A146" t="s">
        <v>505</v>
      </c>
      <c r="B146" t="s">
        <v>506</v>
      </c>
      <c r="C146" t="s">
        <v>191</v>
      </c>
      <c r="D146" t="s">
        <v>192</v>
      </c>
      <c r="E146" t="s">
        <v>193</v>
      </c>
      <c r="F146" t="s">
        <v>201</v>
      </c>
      <c r="G146" t="s">
        <v>202</v>
      </c>
      <c r="H146" t="s">
        <v>196</v>
      </c>
      <c r="I146" t="s">
        <v>197</v>
      </c>
      <c r="J146" t="s">
        <v>206</v>
      </c>
      <c r="K146">
        <v>204</v>
      </c>
      <c r="L146" s="36">
        <v>43892</v>
      </c>
      <c r="M146">
        <v>0.45</v>
      </c>
      <c r="N146">
        <v>0.94</v>
      </c>
      <c r="O146">
        <f t="shared" si="2"/>
        <v>1.39</v>
      </c>
    </row>
    <row r="147" spans="1:15" hidden="1">
      <c r="A147" t="s">
        <v>507</v>
      </c>
      <c r="B147" t="s">
        <v>508</v>
      </c>
      <c r="C147" t="s">
        <v>191</v>
      </c>
      <c r="D147" t="s">
        <v>192</v>
      </c>
      <c r="E147" t="s">
        <v>193</v>
      </c>
      <c r="F147" t="s">
        <v>201</v>
      </c>
      <c r="G147" t="s">
        <v>212</v>
      </c>
      <c r="H147" t="s">
        <v>196</v>
      </c>
      <c r="I147" t="s">
        <v>197</v>
      </c>
      <c r="J147" t="s">
        <v>203</v>
      </c>
      <c r="K147">
        <v>8148</v>
      </c>
      <c r="L147" s="36">
        <v>43803</v>
      </c>
      <c r="M147">
        <v>0.2</v>
      </c>
      <c r="N147">
        <v>2.68</v>
      </c>
      <c r="O147">
        <f t="shared" si="2"/>
        <v>2.8800000000000003</v>
      </c>
    </row>
    <row r="148" spans="1:15" hidden="1">
      <c r="A148" t="s">
        <v>509</v>
      </c>
      <c r="B148" t="s">
        <v>510</v>
      </c>
      <c r="C148" t="s">
        <v>191</v>
      </c>
      <c r="D148" t="s">
        <v>192</v>
      </c>
      <c r="E148" t="s">
        <v>193</v>
      </c>
      <c r="F148" t="s">
        <v>201</v>
      </c>
      <c r="G148" t="s">
        <v>233</v>
      </c>
      <c r="H148" t="s">
        <v>196</v>
      </c>
      <c r="I148" t="s">
        <v>197</v>
      </c>
      <c r="J148" t="s">
        <v>234</v>
      </c>
      <c r="K148">
        <v>125.21</v>
      </c>
      <c r="L148" s="36">
        <v>43797</v>
      </c>
      <c r="M148">
        <v>0.39</v>
      </c>
      <c r="N148">
        <v>0.68</v>
      </c>
      <c r="O148">
        <f t="shared" si="2"/>
        <v>1.07</v>
      </c>
    </row>
    <row r="149" spans="1:15" hidden="1">
      <c r="A149" t="s">
        <v>511</v>
      </c>
      <c r="B149" t="s">
        <v>512</v>
      </c>
      <c r="C149" t="s">
        <v>191</v>
      </c>
      <c r="D149" t="s">
        <v>192</v>
      </c>
      <c r="E149" t="s">
        <v>193</v>
      </c>
      <c r="F149" t="s">
        <v>194</v>
      </c>
      <c r="G149" t="s">
        <v>513</v>
      </c>
      <c r="H149" t="s">
        <v>196</v>
      </c>
      <c r="I149" t="s">
        <v>197</v>
      </c>
      <c r="J149" t="s">
        <v>513</v>
      </c>
      <c r="K149">
        <v>120</v>
      </c>
      <c r="L149" s="36">
        <v>43894</v>
      </c>
      <c r="M149">
        <v>22.29</v>
      </c>
      <c r="N149">
        <v>1.47</v>
      </c>
      <c r="O149">
        <f t="shared" si="2"/>
        <v>23.759999999999998</v>
      </c>
    </row>
    <row r="150" spans="1:15" hidden="1">
      <c r="A150" t="s">
        <v>514</v>
      </c>
      <c r="B150" t="s">
        <v>515</v>
      </c>
      <c r="C150" t="s">
        <v>191</v>
      </c>
      <c r="D150" t="s">
        <v>192</v>
      </c>
      <c r="E150" t="s">
        <v>193</v>
      </c>
      <c r="F150" t="s">
        <v>194</v>
      </c>
      <c r="G150" t="s">
        <v>513</v>
      </c>
      <c r="H150" t="s">
        <v>196</v>
      </c>
      <c r="I150" t="s">
        <v>197</v>
      </c>
      <c r="J150" t="s">
        <v>513</v>
      </c>
      <c r="K150">
        <v>6715</v>
      </c>
      <c r="L150" s="36">
        <v>43899</v>
      </c>
      <c r="M150">
        <v>16.98</v>
      </c>
      <c r="N150">
        <v>6.28</v>
      </c>
      <c r="O150">
        <f t="shared" si="2"/>
        <v>23.26</v>
      </c>
    </row>
    <row r="151" spans="1:15" hidden="1">
      <c r="A151" t="s">
        <v>516</v>
      </c>
      <c r="B151" t="s">
        <v>517</v>
      </c>
      <c r="C151" t="s">
        <v>191</v>
      </c>
      <c r="D151" t="s">
        <v>192</v>
      </c>
      <c r="E151" t="s">
        <v>193</v>
      </c>
      <c r="F151" t="s">
        <v>201</v>
      </c>
      <c r="G151" t="s">
        <v>202</v>
      </c>
      <c r="H151" t="s">
        <v>196</v>
      </c>
      <c r="I151" t="s">
        <v>197</v>
      </c>
      <c r="J151" t="s">
        <v>206</v>
      </c>
      <c r="K151">
        <v>34</v>
      </c>
      <c r="L151" s="36">
        <v>43797</v>
      </c>
      <c r="M151">
        <v>6.8</v>
      </c>
      <c r="N151">
        <v>1.2</v>
      </c>
      <c r="O151">
        <f t="shared" si="2"/>
        <v>8</v>
      </c>
    </row>
    <row r="152" spans="1:15" hidden="1">
      <c r="A152" t="s">
        <v>518</v>
      </c>
      <c r="B152" t="s">
        <v>519</v>
      </c>
      <c r="C152" t="s">
        <v>191</v>
      </c>
      <c r="D152" t="s">
        <v>192</v>
      </c>
      <c r="E152" t="s">
        <v>193</v>
      </c>
      <c r="F152" t="s">
        <v>201</v>
      </c>
      <c r="G152" t="s">
        <v>212</v>
      </c>
      <c r="H152" t="s">
        <v>196</v>
      </c>
      <c r="I152" t="s">
        <v>197</v>
      </c>
      <c r="J152" t="s">
        <v>203</v>
      </c>
      <c r="K152">
        <v>121</v>
      </c>
      <c r="L152" s="36">
        <v>43789</v>
      </c>
      <c r="M152">
        <v>0.86</v>
      </c>
      <c r="N152">
        <v>1.29</v>
      </c>
      <c r="O152">
        <f t="shared" si="2"/>
        <v>2.15</v>
      </c>
    </row>
    <row r="153" spans="1:15" hidden="1">
      <c r="A153" t="s">
        <v>520</v>
      </c>
      <c r="B153" t="s">
        <v>521</v>
      </c>
      <c r="C153" t="s">
        <v>191</v>
      </c>
      <c r="D153" t="s">
        <v>192</v>
      </c>
      <c r="E153" t="s">
        <v>193</v>
      </c>
      <c r="F153" t="s">
        <v>201</v>
      </c>
      <c r="G153" t="s">
        <v>202</v>
      </c>
      <c r="H153" t="s">
        <v>196</v>
      </c>
      <c r="I153" t="s">
        <v>197</v>
      </c>
      <c r="J153" t="s">
        <v>206</v>
      </c>
      <c r="K153">
        <v>132</v>
      </c>
      <c r="L153" s="36">
        <v>43899</v>
      </c>
      <c r="M153">
        <v>16.850000000000001</v>
      </c>
      <c r="N153">
        <v>1.23</v>
      </c>
      <c r="O153">
        <f t="shared" si="2"/>
        <v>18.080000000000002</v>
      </c>
    </row>
    <row r="154" spans="1:15" hidden="1">
      <c r="A154" t="s">
        <v>522</v>
      </c>
      <c r="B154" t="s">
        <v>523</v>
      </c>
      <c r="C154" t="s">
        <v>191</v>
      </c>
      <c r="D154" t="s">
        <v>192</v>
      </c>
      <c r="E154" t="s">
        <v>193</v>
      </c>
      <c r="F154" t="s">
        <v>201</v>
      </c>
      <c r="G154" t="s">
        <v>233</v>
      </c>
      <c r="H154" t="s">
        <v>196</v>
      </c>
      <c r="I154" t="s">
        <v>197</v>
      </c>
      <c r="J154" t="s">
        <v>234</v>
      </c>
      <c r="K154">
        <v>5305</v>
      </c>
      <c r="L154" s="36">
        <v>43892</v>
      </c>
      <c r="M154">
        <v>3.68</v>
      </c>
      <c r="N154">
        <v>3.18</v>
      </c>
      <c r="O154">
        <f t="shared" si="2"/>
        <v>6.86</v>
      </c>
    </row>
    <row r="155" spans="1:15" hidden="1">
      <c r="A155" t="s">
        <v>524</v>
      </c>
      <c r="B155" t="s">
        <v>525</v>
      </c>
      <c r="C155" t="s">
        <v>232</v>
      </c>
      <c r="D155" t="s">
        <v>192</v>
      </c>
      <c r="E155" t="s">
        <v>193</v>
      </c>
      <c r="F155" t="s">
        <v>201</v>
      </c>
      <c r="G155" t="s">
        <v>212</v>
      </c>
      <c r="H155" t="s">
        <v>196</v>
      </c>
      <c r="I155" t="s">
        <v>197</v>
      </c>
      <c r="J155" t="s">
        <v>203</v>
      </c>
      <c r="K155">
        <v>426.88</v>
      </c>
      <c r="L155" s="36">
        <v>43879</v>
      </c>
      <c r="M155">
        <v>3.03</v>
      </c>
      <c r="N155">
        <v>0.81</v>
      </c>
      <c r="O155">
        <f t="shared" si="2"/>
        <v>3.84</v>
      </c>
    </row>
    <row r="156" spans="1:15" hidden="1">
      <c r="A156" t="s">
        <v>526</v>
      </c>
      <c r="B156" t="s">
        <v>527</v>
      </c>
      <c r="C156" t="s">
        <v>191</v>
      </c>
      <c r="D156" t="s">
        <v>192</v>
      </c>
      <c r="E156" t="s">
        <v>193</v>
      </c>
      <c r="F156" t="s">
        <v>201</v>
      </c>
      <c r="G156" t="s">
        <v>212</v>
      </c>
      <c r="H156" t="s">
        <v>196</v>
      </c>
      <c r="I156" t="s">
        <v>197</v>
      </c>
      <c r="J156" t="s">
        <v>203</v>
      </c>
      <c r="K156">
        <v>710.28</v>
      </c>
      <c r="L156" s="36">
        <v>43759</v>
      </c>
      <c r="M156">
        <v>0.48</v>
      </c>
      <c r="N156">
        <v>1.49</v>
      </c>
      <c r="O156">
        <f t="shared" si="2"/>
        <v>1.97</v>
      </c>
    </row>
    <row r="157" spans="1:15" hidden="1">
      <c r="A157" t="s">
        <v>528</v>
      </c>
      <c r="B157" t="s">
        <v>529</v>
      </c>
      <c r="C157" t="s">
        <v>191</v>
      </c>
      <c r="D157" t="s">
        <v>192</v>
      </c>
      <c r="E157" t="s">
        <v>193</v>
      </c>
      <c r="F157" t="s">
        <v>201</v>
      </c>
      <c r="G157" t="s">
        <v>233</v>
      </c>
      <c r="H157" t="s">
        <v>196</v>
      </c>
      <c r="I157" t="s">
        <v>197</v>
      </c>
      <c r="J157" t="s">
        <v>234</v>
      </c>
      <c r="K157">
        <v>6812.85</v>
      </c>
      <c r="L157" s="36">
        <v>43902</v>
      </c>
      <c r="M157">
        <v>7.48</v>
      </c>
      <c r="N157">
        <v>6.44</v>
      </c>
      <c r="O157">
        <f t="shared" si="2"/>
        <v>13.920000000000002</v>
      </c>
    </row>
    <row r="158" spans="1:15" hidden="1">
      <c r="A158" t="s">
        <v>530</v>
      </c>
      <c r="B158" t="s">
        <v>531</v>
      </c>
      <c r="C158" t="s">
        <v>191</v>
      </c>
      <c r="D158" t="s">
        <v>192</v>
      </c>
      <c r="E158" t="s">
        <v>193</v>
      </c>
      <c r="F158" t="s">
        <v>194</v>
      </c>
      <c r="G158" t="s">
        <v>378</v>
      </c>
      <c r="H158" t="s">
        <v>196</v>
      </c>
      <c r="I158" t="s">
        <v>197</v>
      </c>
      <c r="J158" t="s">
        <v>379</v>
      </c>
      <c r="K158">
        <v>3217</v>
      </c>
      <c r="L158" s="36">
        <v>43848</v>
      </c>
      <c r="M158">
        <v>3.5</v>
      </c>
      <c r="N158">
        <v>0.86</v>
      </c>
      <c r="O158">
        <f t="shared" si="2"/>
        <v>4.3600000000000003</v>
      </c>
    </row>
    <row r="159" spans="1:15" hidden="1">
      <c r="A159" t="s">
        <v>532</v>
      </c>
      <c r="B159" t="s">
        <v>533</v>
      </c>
      <c r="C159" t="s">
        <v>191</v>
      </c>
      <c r="D159" t="s">
        <v>192</v>
      </c>
      <c r="E159" t="s">
        <v>193</v>
      </c>
      <c r="F159" t="s">
        <v>201</v>
      </c>
      <c r="G159" t="s">
        <v>202</v>
      </c>
      <c r="H159" t="s">
        <v>196</v>
      </c>
      <c r="I159" t="s">
        <v>197</v>
      </c>
      <c r="J159" t="s">
        <v>206</v>
      </c>
      <c r="K159">
        <v>110</v>
      </c>
      <c r="L159" s="36">
        <v>43897</v>
      </c>
      <c r="M159">
        <v>0.1</v>
      </c>
      <c r="N159">
        <v>0.89</v>
      </c>
      <c r="O159">
        <f t="shared" si="2"/>
        <v>0.99</v>
      </c>
    </row>
    <row r="160" spans="1:15" hidden="1">
      <c r="A160" t="s">
        <v>534</v>
      </c>
      <c r="B160" t="s">
        <v>535</v>
      </c>
      <c r="C160" t="s">
        <v>191</v>
      </c>
      <c r="D160" t="s">
        <v>192</v>
      </c>
      <c r="E160" t="s">
        <v>193</v>
      </c>
      <c r="F160" t="s">
        <v>194</v>
      </c>
      <c r="G160" t="s">
        <v>536</v>
      </c>
      <c r="H160" t="s">
        <v>196</v>
      </c>
      <c r="I160" t="s">
        <v>197</v>
      </c>
      <c r="J160" t="s">
        <v>537</v>
      </c>
      <c r="K160">
        <v>1420</v>
      </c>
      <c r="L160" s="36">
        <v>43907</v>
      </c>
      <c r="M160">
        <v>1.01</v>
      </c>
      <c r="N160">
        <v>3.79</v>
      </c>
      <c r="O160">
        <f t="shared" si="2"/>
        <v>4.8</v>
      </c>
    </row>
    <row r="161" spans="1:15" hidden="1">
      <c r="A161" t="s">
        <v>538</v>
      </c>
      <c r="B161" t="s">
        <v>539</v>
      </c>
      <c r="C161" t="s">
        <v>232</v>
      </c>
      <c r="D161" t="s">
        <v>192</v>
      </c>
      <c r="E161" t="s">
        <v>193</v>
      </c>
      <c r="F161" t="s">
        <v>194</v>
      </c>
      <c r="G161" t="s">
        <v>326</v>
      </c>
      <c r="H161" t="s">
        <v>196</v>
      </c>
      <c r="I161" t="s">
        <v>197</v>
      </c>
      <c r="J161" t="s">
        <v>326</v>
      </c>
      <c r="K161">
        <v>8</v>
      </c>
      <c r="L161" s="36">
        <v>43904</v>
      </c>
      <c r="M161">
        <v>19.61</v>
      </c>
      <c r="N161">
        <v>4.2300000000000004</v>
      </c>
      <c r="O161">
        <f t="shared" si="2"/>
        <v>23.84</v>
      </c>
    </row>
    <row r="162" spans="1:15" hidden="1">
      <c r="A162" t="s">
        <v>540</v>
      </c>
      <c r="B162" t="s">
        <v>541</v>
      </c>
      <c r="C162" t="s">
        <v>191</v>
      </c>
      <c r="D162" t="s">
        <v>192</v>
      </c>
      <c r="E162" t="s">
        <v>193</v>
      </c>
      <c r="F162" t="s">
        <v>201</v>
      </c>
      <c r="G162" t="s">
        <v>233</v>
      </c>
      <c r="H162" t="s">
        <v>196</v>
      </c>
      <c r="I162" t="s">
        <v>197</v>
      </c>
      <c r="J162" t="s">
        <v>234</v>
      </c>
      <c r="K162">
        <v>453.4</v>
      </c>
      <c r="L162" s="36">
        <v>43892</v>
      </c>
      <c r="M162">
        <v>21.6</v>
      </c>
      <c r="N162">
        <v>2.56</v>
      </c>
      <c r="O162">
        <f t="shared" si="2"/>
        <v>24.16</v>
      </c>
    </row>
    <row r="163" spans="1:15" hidden="1">
      <c r="A163" t="s">
        <v>542</v>
      </c>
      <c r="B163" t="s">
        <v>543</v>
      </c>
      <c r="C163" t="s">
        <v>191</v>
      </c>
      <c r="D163" t="s">
        <v>192</v>
      </c>
      <c r="E163" t="s">
        <v>193</v>
      </c>
      <c r="F163" t="s">
        <v>201</v>
      </c>
      <c r="G163" t="s">
        <v>233</v>
      </c>
      <c r="H163" t="s">
        <v>196</v>
      </c>
      <c r="I163" t="s">
        <v>197</v>
      </c>
      <c r="J163" t="s">
        <v>234</v>
      </c>
      <c r="K163">
        <v>399.25</v>
      </c>
      <c r="L163" s="36">
        <v>43899</v>
      </c>
      <c r="M163">
        <v>2.88</v>
      </c>
      <c r="N163">
        <v>1.66</v>
      </c>
      <c r="O163">
        <f t="shared" si="2"/>
        <v>4.54</v>
      </c>
    </row>
    <row r="164" spans="1:15" hidden="1">
      <c r="A164" t="s">
        <v>544</v>
      </c>
      <c r="B164" t="s">
        <v>545</v>
      </c>
      <c r="C164" t="s">
        <v>269</v>
      </c>
      <c r="D164" t="s">
        <v>192</v>
      </c>
      <c r="E164" t="s">
        <v>193</v>
      </c>
      <c r="F164" t="s">
        <v>201</v>
      </c>
      <c r="G164" t="s">
        <v>233</v>
      </c>
      <c r="H164" t="s">
        <v>196</v>
      </c>
      <c r="I164" t="s">
        <v>197</v>
      </c>
      <c r="J164" t="s">
        <v>234</v>
      </c>
      <c r="K164">
        <v>10</v>
      </c>
      <c r="L164" s="36">
        <v>43857</v>
      </c>
      <c r="M164">
        <v>207.29</v>
      </c>
      <c r="N164">
        <v>0.2</v>
      </c>
      <c r="O164">
        <f t="shared" si="2"/>
        <v>207.48999999999998</v>
      </c>
    </row>
    <row r="165" spans="1:15" hidden="1">
      <c r="A165" t="s">
        <v>546</v>
      </c>
      <c r="B165" t="s">
        <v>125</v>
      </c>
      <c r="C165" t="s">
        <v>191</v>
      </c>
      <c r="D165" t="s">
        <v>192</v>
      </c>
      <c r="E165" t="s">
        <v>193</v>
      </c>
      <c r="F165" t="s">
        <v>201</v>
      </c>
      <c r="G165" t="s">
        <v>233</v>
      </c>
      <c r="H165" t="s">
        <v>196</v>
      </c>
      <c r="I165" t="s">
        <v>197</v>
      </c>
      <c r="J165" t="s">
        <v>234</v>
      </c>
      <c r="K165">
        <v>100</v>
      </c>
      <c r="L165" s="36">
        <v>43899</v>
      </c>
      <c r="M165">
        <v>2.2999999999999998</v>
      </c>
      <c r="N165">
        <v>7.0000000000000007E-2</v>
      </c>
      <c r="O165">
        <f t="shared" si="2"/>
        <v>2.3699999999999997</v>
      </c>
    </row>
    <row r="166" spans="1:15" hidden="1">
      <c r="A166" t="s">
        <v>547</v>
      </c>
      <c r="B166" t="s">
        <v>548</v>
      </c>
      <c r="C166" t="s">
        <v>211</v>
      </c>
      <c r="D166" t="s">
        <v>192</v>
      </c>
      <c r="E166" t="s">
        <v>193</v>
      </c>
      <c r="F166" t="s">
        <v>414</v>
      </c>
      <c r="G166" t="s">
        <v>415</v>
      </c>
      <c r="H166" t="s">
        <v>196</v>
      </c>
      <c r="I166" t="s">
        <v>197</v>
      </c>
      <c r="J166" t="s">
        <v>549</v>
      </c>
      <c r="K166">
        <v>88.16</v>
      </c>
      <c r="L166" s="36">
        <v>41481</v>
      </c>
      <c r="M166">
        <v>8.34</v>
      </c>
      <c r="N166">
        <v>7.0000000000000007E-2</v>
      </c>
      <c r="O166">
        <f t="shared" si="2"/>
        <v>8.41</v>
      </c>
    </row>
    <row r="167" spans="1:15" hidden="1">
      <c r="A167" t="s">
        <v>550</v>
      </c>
      <c r="B167" t="s">
        <v>551</v>
      </c>
      <c r="C167" t="s">
        <v>191</v>
      </c>
      <c r="D167" t="s">
        <v>192</v>
      </c>
      <c r="E167" t="s">
        <v>193</v>
      </c>
      <c r="F167" t="s">
        <v>201</v>
      </c>
      <c r="G167" t="s">
        <v>233</v>
      </c>
      <c r="H167" t="s">
        <v>196</v>
      </c>
      <c r="I167" t="s">
        <v>197</v>
      </c>
      <c r="J167" t="s">
        <v>234</v>
      </c>
      <c r="K167">
        <v>102.19</v>
      </c>
      <c r="L167" s="36">
        <v>43901</v>
      </c>
      <c r="M167">
        <v>7.45</v>
      </c>
      <c r="N167">
        <v>0.94</v>
      </c>
      <c r="O167">
        <f t="shared" si="2"/>
        <v>8.39</v>
      </c>
    </row>
    <row r="168" spans="1:15" hidden="1">
      <c r="A168" t="s">
        <v>552</v>
      </c>
      <c r="B168" t="s">
        <v>553</v>
      </c>
      <c r="C168" t="s">
        <v>191</v>
      </c>
      <c r="D168" t="s">
        <v>192</v>
      </c>
      <c r="E168" t="s">
        <v>193</v>
      </c>
      <c r="F168" t="s">
        <v>201</v>
      </c>
      <c r="G168" t="s">
        <v>233</v>
      </c>
      <c r="H168" t="s">
        <v>196</v>
      </c>
      <c r="I168" t="s">
        <v>197</v>
      </c>
      <c r="J168" t="s">
        <v>234</v>
      </c>
      <c r="K168">
        <v>453.32</v>
      </c>
      <c r="L168" s="36">
        <v>43899</v>
      </c>
      <c r="M168">
        <v>1.71</v>
      </c>
      <c r="N168">
        <v>0.28999999999999998</v>
      </c>
      <c r="O168">
        <f t="shared" si="2"/>
        <v>2</v>
      </c>
    </row>
    <row r="169" spans="1:15" hidden="1">
      <c r="A169" t="s">
        <v>554</v>
      </c>
      <c r="B169" t="s">
        <v>555</v>
      </c>
      <c r="C169" t="s">
        <v>191</v>
      </c>
      <c r="D169" t="s">
        <v>192</v>
      </c>
      <c r="E169" t="s">
        <v>193</v>
      </c>
      <c r="F169" t="s">
        <v>201</v>
      </c>
      <c r="G169" t="s">
        <v>233</v>
      </c>
      <c r="H169" t="s">
        <v>196</v>
      </c>
      <c r="I169" t="s">
        <v>197</v>
      </c>
      <c r="J169" t="s">
        <v>234</v>
      </c>
      <c r="K169">
        <v>361.65</v>
      </c>
      <c r="L169" s="36">
        <v>43885</v>
      </c>
      <c r="M169">
        <v>65.09</v>
      </c>
      <c r="N169">
        <v>3.08</v>
      </c>
      <c r="O169">
        <f t="shared" si="2"/>
        <v>68.17</v>
      </c>
    </row>
    <row r="170" spans="1:15" hidden="1">
      <c r="A170" t="s">
        <v>556</v>
      </c>
      <c r="B170" t="s">
        <v>557</v>
      </c>
      <c r="C170" t="s">
        <v>191</v>
      </c>
      <c r="D170" t="s">
        <v>192</v>
      </c>
      <c r="E170" t="s">
        <v>193</v>
      </c>
      <c r="F170" t="s">
        <v>414</v>
      </c>
      <c r="G170" t="s">
        <v>415</v>
      </c>
      <c r="H170" t="s">
        <v>196</v>
      </c>
      <c r="I170" t="s">
        <v>197</v>
      </c>
      <c r="J170" t="s">
        <v>415</v>
      </c>
      <c r="K170">
        <v>170</v>
      </c>
      <c r="L170" s="36">
        <v>43875</v>
      </c>
      <c r="M170">
        <v>0.81</v>
      </c>
      <c r="N170">
        <v>1.89</v>
      </c>
      <c r="O170">
        <f t="shared" si="2"/>
        <v>2.7</v>
      </c>
    </row>
    <row r="171" spans="1:15" hidden="1">
      <c r="A171" t="s">
        <v>558</v>
      </c>
      <c r="B171" t="s">
        <v>559</v>
      </c>
      <c r="C171" t="s">
        <v>191</v>
      </c>
      <c r="D171" t="s">
        <v>192</v>
      </c>
      <c r="E171" t="s">
        <v>193</v>
      </c>
      <c r="F171" t="s">
        <v>194</v>
      </c>
      <c r="G171" t="s">
        <v>536</v>
      </c>
      <c r="H171" t="s">
        <v>196</v>
      </c>
      <c r="I171" t="s">
        <v>197</v>
      </c>
      <c r="J171" t="s">
        <v>537</v>
      </c>
      <c r="K171">
        <v>110</v>
      </c>
      <c r="L171" s="36">
        <v>43892</v>
      </c>
      <c r="M171">
        <v>2.96</v>
      </c>
      <c r="N171">
        <v>2.74</v>
      </c>
      <c r="O171">
        <f t="shared" si="2"/>
        <v>5.7</v>
      </c>
    </row>
    <row r="172" spans="1:15" hidden="1">
      <c r="A172" t="s">
        <v>560</v>
      </c>
      <c r="B172" t="s">
        <v>561</v>
      </c>
      <c r="C172" t="s">
        <v>191</v>
      </c>
      <c r="D172" t="s">
        <v>192</v>
      </c>
      <c r="E172" t="s">
        <v>193</v>
      </c>
      <c r="F172" t="s">
        <v>201</v>
      </c>
      <c r="G172" t="s">
        <v>233</v>
      </c>
      <c r="H172" t="s">
        <v>196</v>
      </c>
      <c r="I172" t="s">
        <v>197</v>
      </c>
      <c r="J172" t="s">
        <v>234</v>
      </c>
      <c r="K172">
        <v>112.4</v>
      </c>
      <c r="L172" s="36">
        <v>43874</v>
      </c>
      <c r="M172">
        <v>10.55</v>
      </c>
      <c r="N172">
        <v>0.61</v>
      </c>
      <c r="O172">
        <f t="shared" si="2"/>
        <v>11.16</v>
      </c>
    </row>
    <row r="173" spans="1:15" hidden="1">
      <c r="A173" t="s">
        <v>562</v>
      </c>
      <c r="B173" t="s">
        <v>563</v>
      </c>
      <c r="C173" t="s">
        <v>191</v>
      </c>
      <c r="D173" t="s">
        <v>192</v>
      </c>
      <c r="E173" t="s">
        <v>193</v>
      </c>
      <c r="F173" t="s">
        <v>194</v>
      </c>
      <c r="G173" t="s">
        <v>195</v>
      </c>
      <c r="H173" t="s">
        <v>196</v>
      </c>
      <c r="I173" t="s">
        <v>197</v>
      </c>
      <c r="J173" t="s">
        <v>198</v>
      </c>
      <c r="K173">
        <v>0</v>
      </c>
      <c r="L173" s="36">
        <v>43886</v>
      </c>
      <c r="M173">
        <v>5.71</v>
      </c>
      <c r="N173">
        <v>6.16</v>
      </c>
      <c r="O173">
        <f t="shared" si="2"/>
        <v>11.870000000000001</v>
      </c>
    </row>
    <row r="174" spans="1:15" hidden="1">
      <c r="A174" t="s">
        <v>564</v>
      </c>
      <c r="B174" t="s">
        <v>565</v>
      </c>
      <c r="C174" t="s">
        <v>191</v>
      </c>
      <c r="D174" t="s">
        <v>192</v>
      </c>
      <c r="E174" t="s">
        <v>193</v>
      </c>
      <c r="F174" t="s">
        <v>201</v>
      </c>
      <c r="G174" t="s">
        <v>233</v>
      </c>
      <c r="H174" t="s">
        <v>196</v>
      </c>
      <c r="I174" t="s">
        <v>197</v>
      </c>
      <c r="J174" t="s">
        <v>234</v>
      </c>
      <c r="K174">
        <v>114.05</v>
      </c>
      <c r="L174" s="36">
        <v>43907</v>
      </c>
      <c r="M174">
        <v>0.33</v>
      </c>
      <c r="N174">
        <v>1.05</v>
      </c>
      <c r="O174">
        <f t="shared" si="2"/>
        <v>1.3800000000000001</v>
      </c>
    </row>
    <row r="175" spans="1:15" hidden="1">
      <c r="A175" t="s">
        <v>566</v>
      </c>
      <c r="B175" t="s">
        <v>567</v>
      </c>
      <c r="C175" t="s">
        <v>211</v>
      </c>
      <c r="D175" t="s">
        <v>192</v>
      </c>
      <c r="E175" t="s">
        <v>193</v>
      </c>
      <c r="F175" t="s">
        <v>194</v>
      </c>
      <c r="G175" t="s">
        <v>300</v>
      </c>
      <c r="H175" t="s">
        <v>196</v>
      </c>
      <c r="I175" t="s">
        <v>197</v>
      </c>
      <c r="J175" t="s">
        <v>568</v>
      </c>
      <c r="K175">
        <v>0</v>
      </c>
      <c r="L175" s="36">
        <v>43874</v>
      </c>
      <c r="M175">
        <v>0</v>
      </c>
      <c r="N175">
        <v>0</v>
      </c>
      <c r="O175">
        <f t="shared" si="2"/>
        <v>0</v>
      </c>
    </row>
    <row r="176" spans="1:15" hidden="1">
      <c r="A176" t="s">
        <v>569</v>
      </c>
      <c r="B176" t="s">
        <v>570</v>
      </c>
      <c r="C176" t="s">
        <v>191</v>
      </c>
      <c r="D176" t="s">
        <v>192</v>
      </c>
      <c r="E176" t="s">
        <v>193</v>
      </c>
      <c r="F176" t="s">
        <v>194</v>
      </c>
      <c r="G176" t="s">
        <v>436</v>
      </c>
      <c r="H176" t="s">
        <v>196</v>
      </c>
      <c r="I176" t="s">
        <v>197</v>
      </c>
      <c r="J176" t="s">
        <v>436</v>
      </c>
      <c r="K176">
        <v>10</v>
      </c>
      <c r="L176" s="36">
        <v>43902</v>
      </c>
      <c r="M176">
        <v>1.75</v>
      </c>
      <c r="N176">
        <v>0.75</v>
      </c>
      <c r="O176">
        <f t="shared" si="2"/>
        <v>2.5</v>
      </c>
    </row>
    <row r="177" spans="1:15" hidden="1">
      <c r="A177" t="s">
        <v>571</v>
      </c>
      <c r="B177" t="s">
        <v>572</v>
      </c>
      <c r="C177" t="s">
        <v>191</v>
      </c>
      <c r="D177" t="s">
        <v>192</v>
      </c>
      <c r="E177" t="s">
        <v>193</v>
      </c>
      <c r="F177" t="s">
        <v>194</v>
      </c>
      <c r="G177" t="s">
        <v>436</v>
      </c>
      <c r="H177" t="s">
        <v>196</v>
      </c>
      <c r="I177" t="s">
        <v>197</v>
      </c>
      <c r="J177" t="s">
        <v>436</v>
      </c>
      <c r="K177">
        <v>5</v>
      </c>
      <c r="L177" s="36">
        <v>43869</v>
      </c>
      <c r="M177">
        <v>0.85</v>
      </c>
      <c r="N177">
        <v>1.26</v>
      </c>
      <c r="O177">
        <f t="shared" si="2"/>
        <v>2.11</v>
      </c>
    </row>
    <row r="178" spans="1:15" hidden="1">
      <c r="A178" t="s">
        <v>573</v>
      </c>
      <c r="B178" t="s">
        <v>65</v>
      </c>
      <c r="C178" t="s">
        <v>191</v>
      </c>
      <c r="D178" t="s">
        <v>192</v>
      </c>
      <c r="E178" t="s">
        <v>193</v>
      </c>
      <c r="F178" t="s">
        <v>194</v>
      </c>
      <c r="G178" t="s">
        <v>436</v>
      </c>
      <c r="H178" t="s">
        <v>196</v>
      </c>
      <c r="I178" t="s">
        <v>197</v>
      </c>
      <c r="J178" t="s">
        <v>436</v>
      </c>
      <c r="K178">
        <v>5</v>
      </c>
      <c r="L178" s="36">
        <v>43899</v>
      </c>
      <c r="M178">
        <v>0.3</v>
      </c>
      <c r="N178">
        <v>3.96</v>
      </c>
      <c r="O178">
        <f t="shared" si="2"/>
        <v>4.26</v>
      </c>
    </row>
    <row r="179" spans="1:15" hidden="1">
      <c r="A179" t="s">
        <v>574</v>
      </c>
      <c r="B179" t="s">
        <v>575</v>
      </c>
      <c r="C179" t="s">
        <v>191</v>
      </c>
      <c r="D179" t="s">
        <v>192</v>
      </c>
      <c r="E179" t="s">
        <v>193</v>
      </c>
      <c r="F179" t="s">
        <v>194</v>
      </c>
      <c r="G179" t="s">
        <v>436</v>
      </c>
      <c r="H179" t="s">
        <v>196</v>
      </c>
      <c r="I179" t="s">
        <v>197</v>
      </c>
      <c r="J179" t="s">
        <v>436</v>
      </c>
      <c r="K179">
        <v>3</v>
      </c>
      <c r="L179" s="36">
        <v>43901</v>
      </c>
      <c r="M179">
        <v>0.18</v>
      </c>
      <c r="N179">
        <v>0.66</v>
      </c>
      <c r="O179">
        <f t="shared" si="2"/>
        <v>0.84000000000000008</v>
      </c>
    </row>
    <row r="180" spans="1:15" hidden="1">
      <c r="A180" t="s">
        <v>576</v>
      </c>
      <c r="B180" t="s">
        <v>577</v>
      </c>
      <c r="C180" t="s">
        <v>191</v>
      </c>
      <c r="D180" t="s">
        <v>192</v>
      </c>
      <c r="E180" t="s">
        <v>193</v>
      </c>
      <c r="F180" t="s">
        <v>194</v>
      </c>
      <c r="G180" t="s">
        <v>436</v>
      </c>
      <c r="H180" t="s">
        <v>196</v>
      </c>
      <c r="I180" t="s">
        <v>197</v>
      </c>
      <c r="J180" t="s">
        <v>436</v>
      </c>
      <c r="K180">
        <v>15</v>
      </c>
      <c r="L180" s="36">
        <v>43885</v>
      </c>
      <c r="M180">
        <v>1.26</v>
      </c>
      <c r="N180">
        <v>3.57</v>
      </c>
      <c r="O180">
        <f t="shared" si="2"/>
        <v>4.83</v>
      </c>
    </row>
    <row r="181" spans="1:15" hidden="1">
      <c r="A181" t="s">
        <v>578</v>
      </c>
      <c r="B181" t="s">
        <v>64</v>
      </c>
      <c r="C181" t="s">
        <v>191</v>
      </c>
      <c r="D181" t="s">
        <v>192</v>
      </c>
      <c r="E181" t="s">
        <v>193</v>
      </c>
      <c r="F181" t="s">
        <v>194</v>
      </c>
      <c r="G181" t="s">
        <v>436</v>
      </c>
      <c r="H181" t="s">
        <v>196</v>
      </c>
      <c r="I181" t="s">
        <v>197</v>
      </c>
      <c r="J181" t="s">
        <v>436</v>
      </c>
      <c r="K181">
        <v>5</v>
      </c>
      <c r="L181" s="36">
        <v>43889</v>
      </c>
      <c r="M181">
        <v>4.29</v>
      </c>
      <c r="N181">
        <v>9.11</v>
      </c>
      <c r="O181">
        <f t="shared" si="2"/>
        <v>13.399999999999999</v>
      </c>
    </row>
    <row r="182" spans="1:15" hidden="1">
      <c r="A182" t="s">
        <v>579</v>
      </c>
      <c r="B182" t="s">
        <v>580</v>
      </c>
      <c r="C182" t="s">
        <v>191</v>
      </c>
      <c r="D182" t="s">
        <v>192</v>
      </c>
      <c r="E182" t="s">
        <v>193</v>
      </c>
      <c r="F182" t="s">
        <v>194</v>
      </c>
      <c r="G182" t="s">
        <v>436</v>
      </c>
      <c r="H182" t="s">
        <v>196</v>
      </c>
      <c r="I182" t="s">
        <v>197</v>
      </c>
      <c r="J182" t="s">
        <v>436</v>
      </c>
      <c r="K182">
        <v>5</v>
      </c>
      <c r="L182" s="36">
        <v>43821</v>
      </c>
      <c r="M182">
        <v>0.05</v>
      </c>
      <c r="N182">
        <v>1.63</v>
      </c>
      <c r="O182">
        <f t="shared" si="2"/>
        <v>1.68</v>
      </c>
    </row>
    <row r="183" spans="1:15" hidden="1">
      <c r="A183" t="s">
        <v>581</v>
      </c>
      <c r="B183" t="s">
        <v>582</v>
      </c>
      <c r="C183" t="s">
        <v>191</v>
      </c>
      <c r="D183" t="s">
        <v>192</v>
      </c>
      <c r="E183" t="s">
        <v>193</v>
      </c>
      <c r="F183" t="s">
        <v>194</v>
      </c>
      <c r="G183" t="s">
        <v>195</v>
      </c>
      <c r="H183" t="s">
        <v>196</v>
      </c>
      <c r="I183" t="s">
        <v>197</v>
      </c>
      <c r="J183" t="s">
        <v>198</v>
      </c>
      <c r="K183">
        <v>6</v>
      </c>
      <c r="L183" s="36">
        <v>43886</v>
      </c>
      <c r="M183">
        <v>16.72</v>
      </c>
      <c r="N183">
        <v>2.27</v>
      </c>
      <c r="O183">
        <f t="shared" si="2"/>
        <v>18.989999999999998</v>
      </c>
    </row>
    <row r="184" spans="1:15" hidden="1">
      <c r="A184" t="s">
        <v>583</v>
      </c>
      <c r="B184" t="s">
        <v>584</v>
      </c>
      <c r="C184" t="s">
        <v>191</v>
      </c>
      <c r="D184" t="s">
        <v>192</v>
      </c>
      <c r="E184" t="s">
        <v>193</v>
      </c>
      <c r="F184" t="s">
        <v>194</v>
      </c>
      <c r="G184" t="s">
        <v>513</v>
      </c>
      <c r="H184" t="s">
        <v>196</v>
      </c>
      <c r="I184" t="s">
        <v>197</v>
      </c>
      <c r="J184" t="s">
        <v>513</v>
      </c>
      <c r="K184">
        <v>6820</v>
      </c>
      <c r="L184" s="36">
        <v>43864</v>
      </c>
      <c r="M184">
        <v>22.43</v>
      </c>
      <c r="N184">
        <v>1.66</v>
      </c>
      <c r="O184">
        <f t="shared" si="2"/>
        <v>24.09</v>
      </c>
    </row>
    <row r="185" spans="1:15" hidden="1">
      <c r="A185" t="s">
        <v>585</v>
      </c>
      <c r="B185" t="s">
        <v>586</v>
      </c>
      <c r="C185" t="s">
        <v>191</v>
      </c>
      <c r="D185" t="s">
        <v>192</v>
      </c>
      <c r="E185" t="s">
        <v>193</v>
      </c>
      <c r="F185" t="s">
        <v>194</v>
      </c>
      <c r="G185" t="s">
        <v>513</v>
      </c>
      <c r="H185" t="s">
        <v>196</v>
      </c>
      <c r="I185" t="s">
        <v>197</v>
      </c>
      <c r="J185" t="s">
        <v>513</v>
      </c>
      <c r="K185">
        <v>125</v>
      </c>
      <c r="L185" s="36">
        <v>43901</v>
      </c>
      <c r="M185">
        <v>10.96</v>
      </c>
      <c r="N185">
        <v>4.05</v>
      </c>
      <c r="O185">
        <f t="shared" si="2"/>
        <v>15.010000000000002</v>
      </c>
    </row>
    <row r="186" spans="1:15" hidden="1">
      <c r="A186" t="s">
        <v>587</v>
      </c>
      <c r="B186" t="s">
        <v>588</v>
      </c>
      <c r="C186" t="s">
        <v>211</v>
      </c>
      <c r="D186" t="s">
        <v>192</v>
      </c>
      <c r="E186" t="s">
        <v>193</v>
      </c>
      <c r="F186" t="s">
        <v>194</v>
      </c>
      <c r="G186" t="s">
        <v>369</v>
      </c>
      <c r="H186" t="s">
        <v>196</v>
      </c>
      <c r="I186" t="s">
        <v>197</v>
      </c>
      <c r="J186" t="s">
        <v>496</v>
      </c>
      <c r="K186">
        <v>0</v>
      </c>
      <c r="L186" s="36">
        <v>43707</v>
      </c>
      <c r="M186">
        <v>0</v>
      </c>
      <c r="N186">
        <v>0</v>
      </c>
      <c r="O186">
        <f t="shared" si="2"/>
        <v>0</v>
      </c>
    </row>
    <row r="187" spans="1:15" hidden="1">
      <c r="A187" t="s">
        <v>589</v>
      </c>
      <c r="B187" t="s">
        <v>590</v>
      </c>
      <c r="C187" t="s">
        <v>191</v>
      </c>
      <c r="D187" t="s">
        <v>192</v>
      </c>
      <c r="E187" t="s">
        <v>193</v>
      </c>
      <c r="F187" t="s">
        <v>194</v>
      </c>
      <c r="G187" t="s">
        <v>369</v>
      </c>
      <c r="H187" t="s">
        <v>196</v>
      </c>
      <c r="I187" t="s">
        <v>197</v>
      </c>
      <c r="J187" t="s">
        <v>369</v>
      </c>
      <c r="K187">
        <v>1200</v>
      </c>
      <c r="L187" s="36">
        <v>43893</v>
      </c>
      <c r="M187">
        <v>10.44</v>
      </c>
      <c r="N187">
        <v>1.55</v>
      </c>
      <c r="O187">
        <f t="shared" si="2"/>
        <v>11.99</v>
      </c>
    </row>
    <row r="188" spans="1:15" hidden="1">
      <c r="A188" t="s">
        <v>591</v>
      </c>
      <c r="B188" t="s">
        <v>592</v>
      </c>
      <c r="C188" t="s">
        <v>191</v>
      </c>
      <c r="D188" t="s">
        <v>192</v>
      </c>
      <c r="E188" t="s">
        <v>193</v>
      </c>
      <c r="F188" t="s">
        <v>194</v>
      </c>
      <c r="G188" t="s">
        <v>369</v>
      </c>
      <c r="H188" t="s">
        <v>196</v>
      </c>
      <c r="I188" t="s">
        <v>197</v>
      </c>
      <c r="J188" t="s">
        <v>369</v>
      </c>
      <c r="K188">
        <v>10</v>
      </c>
      <c r="L188" s="36">
        <v>43864</v>
      </c>
      <c r="M188">
        <v>7.77</v>
      </c>
      <c r="N188">
        <v>0.67</v>
      </c>
      <c r="O188">
        <f t="shared" si="2"/>
        <v>8.44</v>
      </c>
    </row>
    <row r="189" spans="1:15" hidden="1">
      <c r="A189" t="s">
        <v>593</v>
      </c>
      <c r="B189" t="s">
        <v>594</v>
      </c>
      <c r="C189" t="s">
        <v>269</v>
      </c>
      <c r="D189" t="s">
        <v>192</v>
      </c>
      <c r="E189" t="s">
        <v>193</v>
      </c>
      <c r="F189" t="s">
        <v>194</v>
      </c>
      <c r="G189" t="s">
        <v>369</v>
      </c>
      <c r="H189" t="s">
        <v>196</v>
      </c>
      <c r="I189" t="s">
        <v>197</v>
      </c>
      <c r="J189" t="s">
        <v>369</v>
      </c>
      <c r="K189">
        <v>6885</v>
      </c>
      <c r="L189" s="36">
        <v>43902</v>
      </c>
      <c r="M189">
        <v>46.54</v>
      </c>
      <c r="N189">
        <v>3.19</v>
      </c>
      <c r="O189">
        <f t="shared" si="2"/>
        <v>49.73</v>
      </c>
    </row>
    <row r="190" spans="1:15" hidden="1">
      <c r="A190" t="s">
        <v>595</v>
      </c>
      <c r="B190" t="s">
        <v>596</v>
      </c>
      <c r="C190" t="s">
        <v>191</v>
      </c>
      <c r="D190" t="s">
        <v>192</v>
      </c>
      <c r="E190" t="s">
        <v>193</v>
      </c>
      <c r="F190" t="s">
        <v>194</v>
      </c>
      <c r="G190" t="s">
        <v>369</v>
      </c>
      <c r="H190" t="s">
        <v>196</v>
      </c>
      <c r="I190" t="s">
        <v>197</v>
      </c>
      <c r="J190" t="s">
        <v>369</v>
      </c>
      <c r="K190">
        <v>18</v>
      </c>
      <c r="L190" s="36">
        <v>43907</v>
      </c>
      <c r="M190">
        <v>18.91</v>
      </c>
      <c r="N190">
        <v>1.69</v>
      </c>
      <c r="O190">
        <f t="shared" si="2"/>
        <v>20.6</v>
      </c>
    </row>
    <row r="191" spans="1:15" hidden="1">
      <c r="A191" t="s">
        <v>597</v>
      </c>
      <c r="B191" t="s">
        <v>598</v>
      </c>
      <c r="C191" t="s">
        <v>211</v>
      </c>
      <c r="D191" t="s">
        <v>192</v>
      </c>
      <c r="E191" t="s">
        <v>193</v>
      </c>
      <c r="F191" t="s">
        <v>194</v>
      </c>
      <c r="G191" t="s">
        <v>369</v>
      </c>
      <c r="H191" t="s">
        <v>196</v>
      </c>
      <c r="I191" t="s">
        <v>197</v>
      </c>
      <c r="J191" t="s">
        <v>496</v>
      </c>
      <c r="K191">
        <v>0</v>
      </c>
      <c r="L191" s="36">
        <v>42973</v>
      </c>
      <c r="M191">
        <v>0</v>
      </c>
      <c r="N191">
        <v>0</v>
      </c>
      <c r="O191">
        <f t="shared" si="2"/>
        <v>0</v>
      </c>
    </row>
    <row r="192" spans="1:15" hidden="1">
      <c r="A192" t="s">
        <v>599</v>
      </c>
      <c r="B192" t="s">
        <v>600</v>
      </c>
      <c r="C192" t="s">
        <v>191</v>
      </c>
      <c r="D192" t="s">
        <v>192</v>
      </c>
      <c r="E192" t="s">
        <v>193</v>
      </c>
      <c r="F192" t="s">
        <v>194</v>
      </c>
      <c r="G192" t="s">
        <v>601</v>
      </c>
      <c r="H192" t="s">
        <v>196</v>
      </c>
      <c r="I192" t="s">
        <v>197</v>
      </c>
      <c r="J192" t="s">
        <v>602</v>
      </c>
      <c r="K192">
        <v>1051</v>
      </c>
      <c r="L192" s="36">
        <v>43864</v>
      </c>
      <c r="M192">
        <v>11.5</v>
      </c>
      <c r="N192">
        <v>1.99</v>
      </c>
      <c r="O192">
        <f t="shared" si="2"/>
        <v>13.49</v>
      </c>
    </row>
    <row r="193" spans="1:15" hidden="1">
      <c r="A193" t="s">
        <v>603</v>
      </c>
      <c r="B193" t="s">
        <v>48</v>
      </c>
      <c r="C193" t="s">
        <v>191</v>
      </c>
      <c r="D193" t="s">
        <v>192</v>
      </c>
      <c r="E193" t="s">
        <v>193</v>
      </c>
      <c r="F193" t="s">
        <v>194</v>
      </c>
      <c r="G193" t="s">
        <v>369</v>
      </c>
      <c r="H193" t="s">
        <v>196</v>
      </c>
      <c r="I193" t="s">
        <v>197</v>
      </c>
      <c r="J193" t="s">
        <v>369</v>
      </c>
      <c r="K193">
        <v>4010</v>
      </c>
      <c r="L193" s="36">
        <v>43893</v>
      </c>
      <c r="M193">
        <v>39.36</v>
      </c>
      <c r="N193">
        <v>8.61</v>
      </c>
      <c r="O193">
        <f t="shared" si="2"/>
        <v>47.97</v>
      </c>
    </row>
    <row r="194" spans="1:15" hidden="1">
      <c r="A194" t="s">
        <v>604</v>
      </c>
      <c r="B194" t="s">
        <v>605</v>
      </c>
      <c r="C194" t="s">
        <v>191</v>
      </c>
      <c r="D194" t="s">
        <v>192</v>
      </c>
      <c r="E194" t="s">
        <v>193</v>
      </c>
      <c r="F194" t="s">
        <v>194</v>
      </c>
      <c r="G194" t="s">
        <v>601</v>
      </c>
      <c r="H194" t="s">
        <v>196</v>
      </c>
      <c r="I194" t="s">
        <v>197</v>
      </c>
      <c r="J194" t="s">
        <v>602</v>
      </c>
      <c r="K194">
        <v>2900</v>
      </c>
      <c r="L194" s="36">
        <v>43882</v>
      </c>
      <c r="M194">
        <v>0.56000000000000005</v>
      </c>
      <c r="N194">
        <v>0.83</v>
      </c>
      <c r="O194">
        <f t="shared" si="2"/>
        <v>1.3900000000000001</v>
      </c>
    </row>
    <row r="195" spans="1:15" hidden="1">
      <c r="A195" t="s">
        <v>606</v>
      </c>
      <c r="B195" t="s">
        <v>607</v>
      </c>
      <c r="C195" t="s">
        <v>211</v>
      </c>
      <c r="D195" t="s">
        <v>192</v>
      </c>
      <c r="E195" t="s">
        <v>193</v>
      </c>
      <c r="F195" t="s">
        <v>194</v>
      </c>
      <c r="G195" t="s">
        <v>300</v>
      </c>
      <c r="H195" t="s">
        <v>196</v>
      </c>
      <c r="I195" t="s">
        <v>197</v>
      </c>
      <c r="J195" t="s">
        <v>366</v>
      </c>
      <c r="K195">
        <v>0</v>
      </c>
      <c r="L195" s="36">
        <v>43874</v>
      </c>
      <c r="M195">
        <v>0</v>
      </c>
      <c r="N195">
        <v>0</v>
      </c>
      <c r="O195">
        <f t="shared" ref="O195:O258" si="3">M195+N195</f>
        <v>0</v>
      </c>
    </row>
    <row r="196" spans="1:15" hidden="1">
      <c r="A196" t="s">
        <v>608</v>
      </c>
      <c r="B196" t="s">
        <v>609</v>
      </c>
      <c r="C196" t="s">
        <v>191</v>
      </c>
      <c r="D196" t="s">
        <v>192</v>
      </c>
      <c r="E196" t="s">
        <v>193</v>
      </c>
      <c r="F196" t="s">
        <v>194</v>
      </c>
      <c r="G196" t="s">
        <v>372</v>
      </c>
      <c r="H196" t="s">
        <v>196</v>
      </c>
      <c r="I196" t="s">
        <v>197</v>
      </c>
      <c r="J196" t="s">
        <v>373</v>
      </c>
      <c r="K196">
        <v>500</v>
      </c>
      <c r="L196" s="36">
        <v>43907</v>
      </c>
      <c r="M196">
        <v>0.77</v>
      </c>
      <c r="N196">
        <v>0.7</v>
      </c>
      <c r="O196">
        <f t="shared" si="3"/>
        <v>1.47</v>
      </c>
    </row>
    <row r="197" spans="1:15" hidden="1">
      <c r="A197" t="s">
        <v>610</v>
      </c>
      <c r="B197" t="s">
        <v>611</v>
      </c>
      <c r="C197" t="s">
        <v>191</v>
      </c>
      <c r="D197" t="s">
        <v>192</v>
      </c>
      <c r="E197" t="s">
        <v>193</v>
      </c>
      <c r="F197" t="s">
        <v>194</v>
      </c>
      <c r="G197" t="s">
        <v>372</v>
      </c>
      <c r="H197" t="s">
        <v>196</v>
      </c>
      <c r="I197" t="s">
        <v>197</v>
      </c>
      <c r="J197" t="s">
        <v>373</v>
      </c>
      <c r="K197">
        <v>1000</v>
      </c>
      <c r="L197" s="36">
        <v>43907</v>
      </c>
      <c r="M197">
        <v>6.88</v>
      </c>
      <c r="N197">
        <v>1.1100000000000001</v>
      </c>
      <c r="O197">
        <f t="shared" si="3"/>
        <v>7.99</v>
      </c>
    </row>
    <row r="198" spans="1:15" hidden="1">
      <c r="A198" t="s">
        <v>612</v>
      </c>
      <c r="B198" t="s">
        <v>613</v>
      </c>
      <c r="C198" t="s">
        <v>191</v>
      </c>
      <c r="D198" t="s">
        <v>192</v>
      </c>
      <c r="E198" t="s">
        <v>193</v>
      </c>
      <c r="F198" t="s">
        <v>194</v>
      </c>
      <c r="G198" t="s">
        <v>372</v>
      </c>
      <c r="H198" t="s">
        <v>196</v>
      </c>
      <c r="I198" t="s">
        <v>197</v>
      </c>
      <c r="J198" t="s">
        <v>379</v>
      </c>
      <c r="K198">
        <v>640</v>
      </c>
      <c r="L198" s="36">
        <v>43900</v>
      </c>
      <c r="M198">
        <v>36.15</v>
      </c>
      <c r="N198">
        <v>0.61</v>
      </c>
      <c r="O198">
        <f t="shared" si="3"/>
        <v>36.76</v>
      </c>
    </row>
    <row r="199" spans="1:15" hidden="1">
      <c r="A199" t="s">
        <v>614</v>
      </c>
      <c r="B199" t="s">
        <v>615</v>
      </c>
      <c r="C199" t="s">
        <v>211</v>
      </c>
      <c r="D199" t="s">
        <v>192</v>
      </c>
      <c r="E199" t="s">
        <v>193</v>
      </c>
      <c r="F199" t="s">
        <v>194</v>
      </c>
      <c r="G199" t="s">
        <v>300</v>
      </c>
      <c r="H199" t="s">
        <v>196</v>
      </c>
      <c r="I199" t="s">
        <v>197</v>
      </c>
      <c r="J199" t="s">
        <v>366</v>
      </c>
      <c r="K199">
        <v>0</v>
      </c>
      <c r="L199" s="36">
        <v>43798</v>
      </c>
      <c r="M199">
        <v>0</v>
      </c>
      <c r="N199">
        <v>0</v>
      </c>
      <c r="O199">
        <f t="shared" si="3"/>
        <v>0</v>
      </c>
    </row>
    <row r="200" spans="1:15" hidden="1">
      <c r="A200" t="s">
        <v>616</v>
      </c>
      <c r="B200" t="s">
        <v>617</v>
      </c>
      <c r="C200" t="s">
        <v>191</v>
      </c>
      <c r="D200" t="s">
        <v>192</v>
      </c>
      <c r="E200" t="s">
        <v>193</v>
      </c>
      <c r="F200" t="s">
        <v>194</v>
      </c>
      <c r="G200" t="s">
        <v>372</v>
      </c>
      <c r="H200" t="s">
        <v>196</v>
      </c>
      <c r="I200" t="s">
        <v>197</v>
      </c>
      <c r="J200" t="s">
        <v>373</v>
      </c>
      <c r="K200">
        <v>2492</v>
      </c>
      <c r="L200" s="36">
        <v>43906</v>
      </c>
      <c r="M200">
        <v>33</v>
      </c>
      <c r="N200">
        <v>1.88</v>
      </c>
      <c r="O200">
        <f t="shared" si="3"/>
        <v>34.880000000000003</v>
      </c>
    </row>
    <row r="201" spans="1:15" hidden="1">
      <c r="A201" t="s">
        <v>618</v>
      </c>
      <c r="B201" t="s">
        <v>619</v>
      </c>
      <c r="C201" t="s">
        <v>434</v>
      </c>
      <c r="D201" t="s">
        <v>192</v>
      </c>
      <c r="E201" t="s">
        <v>193</v>
      </c>
      <c r="F201" t="s">
        <v>194</v>
      </c>
      <c r="G201" t="s">
        <v>378</v>
      </c>
      <c r="H201" t="s">
        <v>196</v>
      </c>
      <c r="I201" t="s">
        <v>197</v>
      </c>
      <c r="J201" t="s">
        <v>379</v>
      </c>
      <c r="K201">
        <v>1000</v>
      </c>
      <c r="L201" s="36">
        <v>43907</v>
      </c>
      <c r="M201">
        <v>24.26</v>
      </c>
      <c r="N201">
        <v>0.24</v>
      </c>
      <c r="O201">
        <f t="shared" si="3"/>
        <v>24.5</v>
      </c>
    </row>
    <row r="202" spans="1:15" hidden="1">
      <c r="A202" t="s">
        <v>620</v>
      </c>
      <c r="B202" t="s">
        <v>621</v>
      </c>
      <c r="C202" t="s">
        <v>211</v>
      </c>
      <c r="D202" t="s">
        <v>192</v>
      </c>
      <c r="E202" t="s">
        <v>193</v>
      </c>
      <c r="F202" t="s">
        <v>201</v>
      </c>
      <c r="G202" t="s">
        <v>212</v>
      </c>
      <c r="H202" t="s">
        <v>196</v>
      </c>
      <c r="I202" t="s">
        <v>197</v>
      </c>
      <c r="J202" t="s">
        <v>213</v>
      </c>
      <c r="K202">
        <v>0</v>
      </c>
      <c r="L202" s="36">
        <v>43826</v>
      </c>
      <c r="M202">
        <v>0</v>
      </c>
      <c r="N202">
        <v>0</v>
      </c>
      <c r="O202">
        <f t="shared" si="3"/>
        <v>0</v>
      </c>
    </row>
    <row r="203" spans="1:15" hidden="1">
      <c r="A203" t="s">
        <v>622</v>
      </c>
      <c r="B203" t="s">
        <v>623</v>
      </c>
      <c r="C203" t="s">
        <v>211</v>
      </c>
      <c r="D203" t="s">
        <v>192</v>
      </c>
      <c r="E203" t="s">
        <v>193</v>
      </c>
      <c r="F203" t="s">
        <v>201</v>
      </c>
      <c r="G203" t="s">
        <v>202</v>
      </c>
      <c r="H203" t="s">
        <v>196</v>
      </c>
      <c r="I203" t="s">
        <v>197</v>
      </c>
      <c r="J203" t="s">
        <v>213</v>
      </c>
      <c r="K203">
        <v>0</v>
      </c>
      <c r="L203" s="36">
        <v>43826</v>
      </c>
      <c r="M203">
        <v>0</v>
      </c>
      <c r="N203">
        <v>0</v>
      </c>
      <c r="O203">
        <f t="shared" si="3"/>
        <v>0</v>
      </c>
    </row>
    <row r="204" spans="1:15" hidden="1">
      <c r="A204" t="s">
        <v>624</v>
      </c>
      <c r="B204" t="s">
        <v>94</v>
      </c>
      <c r="C204" t="s">
        <v>191</v>
      </c>
      <c r="D204" t="s">
        <v>192</v>
      </c>
      <c r="E204" t="s">
        <v>193</v>
      </c>
      <c r="F204" t="s">
        <v>201</v>
      </c>
      <c r="G204" t="s">
        <v>212</v>
      </c>
      <c r="H204" t="s">
        <v>196</v>
      </c>
      <c r="I204" t="s">
        <v>197</v>
      </c>
      <c r="J204" t="s">
        <v>203</v>
      </c>
      <c r="K204">
        <v>20</v>
      </c>
      <c r="L204" s="36">
        <v>43808</v>
      </c>
      <c r="M204">
        <v>17.14</v>
      </c>
      <c r="N204">
        <v>0.15</v>
      </c>
      <c r="O204">
        <f t="shared" si="3"/>
        <v>17.29</v>
      </c>
    </row>
    <row r="205" spans="1:15" hidden="1">
      <c r="A205" t="s">
        <v>625</v>
      </c>
      <c r="B205" t="s">
        <v>626</v>
      </c>
      <c r="C205" t="s">
        <v>191</v>
      </c>
      <c r="D205" t="s">
        <v>192</v>
      </c>
      <c r="E205" t="s">
        <v>193</v>
      </c>
      <c r="F205" t="s">
        <v>201</v>
      </c>
      <c r="G205" t="s">
        <v>202</v>
      </c>
      <c r="H205" t="s">
        <v>196</v>
      </c>
      <c r="I205" t="s">
        <v>197</v>
      </c>
      <c r="J205" t="s">
        <v>206</v>
      </c>
      <c r="K205">
        <v>10</v>
      </c>
      <c r="L205" s="36">
        <v>43889</v>
      </c>
      <c r="M205">
        <v>68.95</v>
      </c>
      <c r="N205">
        <v>1.04</v>
      </c>
      <c r="O205">
        <f t="shared" si="3"/>
        <v>69.990000000000009</v>
      </c>
    </row>
    <row r="206" spans="1:15" hidden="1">
      <c r="A206" t="s">
        <v>627</v>
      </c>
      <c r="B206" t="s">
        <v>140</v>
      </c>
      <c r="C206" t="s">
        <v>269</v>
      </c>
      <c r="D206" t="s">
        <v>192</v>
      </c>
      <c r="E206" t="s">
        <v>193</v>
      </c>
      <c r="F206" t="s">
        <v>201</v>
      </c>
      <c r="G206" t="s">
        <v>202</v>
      </c>
      <c r="H206" t="s">
        <v>196</v>
      </c>
      <c r="I206" t="s">
        <v>197</v>
      </c>
      <c r="J206" t="s">
        <v>206</v>
      </c>
      <c r="K206">
        <v>10</v>
      </c>
      <c r="L206" s="36">
        <v>43867</v>
      </c>
      <c r="M206">
        <v>91.77</v>
      </c>
      <c r="N206">
        <v>0.93</v>
      </c>
      <c r="O206">
        <f t="shared" si="3"/>
        <v>92.7</v>
      </c>
    </row>
    <row r="207" spans="1:15" hidden="1">
      <c r="A207" t="s">
        <v>628</v>
      </c>
      <c r="B207" t="s">
        <v>147</v>
      </c>
      <c r="C207" t="s">
        <v>191</v>
      </c>
      <c r="D207" t="s">
        <v>192</v>
      </c>
      <c r="E207" t="s">
        <v>193</v>
      </c>
      <c r="F207" t="s">
        <v>201</v>
      </c>
      <c r="G207" t="s">
        <v>202</v>
      </c>
      <c r="H207" t="s">
        <v>196</v>
      </c>
      <c r="I207" t="s">
        <v>197</v>
      </c>
      <c r="J207" t="s">
        <v>206</v>
      </c>
      <c r="K207">
        <v>10</v>
      </c>
      <c r="L207" s="36">
        <v>43867</v>
      </c>
      <c r="M207">
        <v>10.4</v>
      </c>
      <c r="N207">
        <v>0.1</v>
      </c>
      <c r="O207">
        <f t="shared" si="3"/>
        <v>10.5</v>
      </c>
    </row>
    <row r="208" spans="1:15" hidden="1">
      <c r="A208" t="s">
        <v>629</v>
      </c>
      <c r="B208" t="s">
        <v>146</v>
      </c>
      <c r="C208" t="s">
        <v>191</v>
      </c>
      <c r="D208" t="s">
        <v>192</v>
      </c>
      <c r="E208" t="s">
        <v>193</v>
      </c>
      <c r="F208" t="s">
        <v>201</v>
      </c>
      <c r="G208" t="s">
        <v>212</v>
      </c>
      <c r="H208" t="s">
        <v>196</v>
      </c>
      <c r="I208" t="s">
        <v>197</v>
      </c>
      <c r="J208" t="s">
        <v>203</v>
      </c>
      <c r="K208">
        <v>285</v>
      </c>
      <c r="L208" s="36">
        <v>43794</v>
      </c>
      <c r="M208">
        <v>26.64</v>
      </c>
      <c r="N208">
        <v>0.26</v>
      </c>
      <c r="O208">
        <f t="shared" si="3"/>
        <v>26.900000000000002</v>
      </c>
    </row>
    <row r="209" spans="1:15" hidden="1">
      <c r="A209" t="s">
        <v>630</v>
      </c>
      <c r="B209" t="s">
        <v>631</v>
      </c>
      <c r="C209" t="s">
        <v>191</v>
      </c>
      <c r="D209" t="s">
        <v>192</v>
      </c>
      <c r="E209" t="s">
        <v>193</v>
      </c>
      <c r="F209" t="s">
        <v>201</v>
      </c>
      <c r="G209" t="s">
        <v>233</v>
      </c>
      <c r="H209" t="s">
        <v>196</v>
      </c>
      <c r="I209" t="s">
        <v>197</v>
      </c>
      <c r="J209" t="s">
        <v>234</v>
      </c>
      <c r="K209">
        <v>23535</v>
      </c>
      <c r="L209" s="36">
        <v>43897</v>
      </c>
      <c r="M209">
        <v>36.630000000000003</v>
      </c>
      <c r="N209">
        <v>0.04</v>
      </c>
      <c r="O209">
        <f t="shared" si="3"/>
        <v>36.67</v>
      </c>
    </row>
    <row r="210" spans="1:15" hidden="1">
      <c r="A210" t="s">
        <v>632</v>
      </c>
      <c r="B210" t="s">
        <v>633</v>
      </c>
      <c r="C210" t="s">
        <v>269</v>
      </c>
      <c r="D210" t="s">
        <v>192</v>
      </c>
      <c r="E210" t="s">
        <v>193</v>
      </c>
      <c r="F210" t="s">
        <v>201</v>
      </c>
      <c r="G210" t="s">
        <v>233</v>
      </c>
      <c r="H210" t="s">
        <v>196</v>
      </c>
      <c r="I210" t="s">
        <v>197</v>
      </c>
      <c r="J210" t="s">
        <v>234</v>
      </c>
      <c r="K210">
        <v>10</v>
      </c>
      <c r="L210" s="36">
        <v>43885</v>
      </c>
      <c r="M210">
        <v>214.95</v>
      </c>
      <c r="N210">
        <v>0.21</v>
      </c>
      <c r="O210">
        <f t="shared" si="3"/>
        <v>215.16</v>
      </c>
    </row>
    <row r="211" spans="1:15" hidden="1">
      <c r="A211" t="s">
        <v>634</v>
      </c>
      <c r="B211" t="s">
        <v>635</v>
      </c>
      <c r="C211" t="s">
        <v>232</v>
      </c>
      <c r="D211" t="s">
        <v>192</v>
      </c>
      <c r="E211" t="s">
        <v>193</v>
      </c>
      <c r="F211" t="s">
        <v>194</v>
      </c>
      <c r="G211" t="s">
        <v>326</v>
      </c>
      <c r="H211" t="s">
        <v>196</v>
      </c>
      <c r="I211" t="s">
        <v>197</v>
      </c>
      <c r="J211" t="s">
        <v>326</v>
      </c>
      <c r="K211">
        <v>60</v>
      </c>
      <c r="L211" s="36">
        <v>43881</v>
      </c>
      <c r="M211">
        <v>168.29</v>
      </c>
      <c r="N211">
        <v>0.98</v>
      </c>
      <c r="O211">
        <f t="shared" si="3"/>
        <v>169.26999999999998</v>
      </c>
    </row>
    <row r="212" spans="1:15" hidden="1">
      <c r="A212" t="s">
        <v>636</v>
      </c>
      <c r="B212" t="s">
        <v>637</v>
      </c>
      <c r="C212" t="s">
        <v>191</v>
      </c>
      <c r="D212" t="s">
        <v>192</v>
      </c>
      <c r="E212" t="s">
        <v>193</v>
      </c>
      <c r="F212" t="s">
        <v>194</v>
      </c>
      <c r="G212" t="s">
        <v>536</v>
      </c>
      <c r="H212" t="s">
        <v>196</v>
      </c>
      <c r="I212" t="s">
        <v>197</v>
      </c>
      <c r="J212" t="s">
        <v>537</v>
      </c>
      <c r="K212">
        <v>2102</v>
      </c>
      <c r="L212" s="36">
        <v>43879</v>
      </c>
      <c r="M212">
        <v>1.4</v>
      </c>
      <c r="N212">
        <v>1.64</v>
      </c>
      <c r="O212">
        <f t="shared" si="3"/>
        <v>3.04</v>
      </c>
    </row>
    <row r="213" spans="1:15" hidden="1">
      <c r="A213" t="s">
        <v>638</v>
      </c>
      <c r="B213" t="s">
        <v>639</v>
      </c>
      <c r="C213" t="s">
        <v>232</v>
      </c>
      <c r="D213" t="s">
        <v>192</v>
      </c>
      <c r="E213" t="s">
        <v>193</v>
      </c>
      <c r="F213" t="s">
        <v>194</v>
      </c>
      <c r="G213" t="s">
        <v>306</v>
      </c>
      <c r="H213" t="s">
        <v>196</v>
      </c>
      <c r="I213" t="s">
        <v>197</v>
      </c>
      <c r="J213" t="s">
        <v>309</v>
      </c>
      <c r="K213">
        <v>10</v>
      </c>
      <c r="L213" s="36">
        <v>43879</v>
      </c>
      <c r="M213">
        <v>74.16</v>
      </c>
      <c r="N213">
        <v>4.5599999999999996</v>
      </c>
      <c r="O213">
        <f t="shared" si="3"/>
        <v>78.72</v>
      </c>
    </row>
    <row r="214" spans="1:15" hidden="1">
      <c r="A214" t="s">
        <v>640</v>
      </c>
      <c r="B214" t="s">
        <v>641</v>
      </c>
      <c r="C214" t="s">
        <v>232</v>
      </c>
      <c r="D214" t="s">
        <v>192</v>
      </c>
      <c r="E214" t="s">
        <v>193</v>
      </c>
      <c r="F214" t="s">
        <v>194</v>
      </c>
      <c r="G214" t="s">
        <v>306</v>
      </c>
      <c r="H214" t="s">
        <v>196</v>
      </c>
      <c r="I214" t="s">
        <v>197</v>
      </c>
      <c r="J214" t="s">
        <v>309</v>
      </c>
      <c r="K214">
        <v>7</v>
      </c>
      <c r="L214" s="36">
        <v>43903</v>
      </c>
      <c r="M214">
        <v>168.91</v>
      </c>
      <c r="N214">
        <v>8.32</v>
      </c>
      <c r="O214">
        <f t="shared" si="3"/>
        <v>177.23</v>
      </c>
    </row>
    <row r="215" spans="1:15" hidden="1">
      <c r="A215" t="s">
        <v>642</v>
      </c>
      <c r="B215" t="s">
        <v>643</v>
      </c>
      <c r="C215" t="s">
        <v>191</v>
      </c>
      <c r="D215" t="s">
        <v>192</v>
      </c>
      <c r="E215" t="s">
        <v>193</v>
      </c>
      <c r="F215" t="s">
        <v>201</v>
      </c>
      <c r="G215" t="s">
        <v>202</v>
      </c>
      <c r="H215" t="s">
        <v>196</v>
      </c>
      <c r="I215" t="s">
        <v>197</v>
      </c>
      <c r="J215" t="s">
        <v>206</v>
      </c>
      <c r="K215">
        <v>133</v>
      </c>
      <c r="L215" s="36">
        <v>43867</v>
      </c>
      <c r="M215">
        <v>20.95</v>
      </c>
      <c r="N215">
        <v>3.65</v>
      </c>
      <c r="O215">
        <f t="shared" si="3"/>
        <v>24.599999999999998</v>
      </c>
    </row>
    <row r="216" spans="1:15" hidden="1">
      <c r="A216" t="s">
        <v>644</v>
      </c>
      <c r="B216" t="s">
        <v>645</v>
      </c>
      <c r="C216" t="s">
        <v>211</v>
      </c>
      <c r="D216" t="s">
        <v>192</v>
      </c>
      <c r="E216" t="s">
        <v>193</v>
      </c>
      <c r="F216" t="s">
        <v>194</v>
      </c>
      <c r="G216" t="s">
        <v>300</v>
      </c>
      <c r="H216" t="s">
        <v>196</v>
      </c>
      <c r="I216" t="s">
        <v>197</v>
      </c>
      <c r="J216" t="s">
        <v>646</v>
      </c>
      <c r="K216">
        <v>0</v>
      </c>
      <c r="L216" s="36">
        <v>43553</v>
      </c>
      <c r="M216">
        <v>0</v>
      </c>
      <c r="N216">
        <v>0</v>
      </c>
      <c r="O216">
        <f t="shared" si="3"/>
        <v>0</v>
      </c>
    </row>
    <row r="217" spans="1:15" hidden="1">
      <c r="A217" t="s">
        <v>647</v>
      </c>
      <c r="B217" t="s">
        <v>648</v>
      </c>
      <c r="C217" t="s">
        <v>191</v>
      </c>
      <c r="D217" t="s">
        <v>192</v>
      </c>
      <c r="E217" t="s">
        <v>193</v>
      </c>
      <c r="F217" t="s">
        <v>194</v>
      </c>
      <c r="G217" t="s">
        <v>306</v>
      </c>
      <c r="H217" t="s">
        <v>196</v>
      </c>
      <c r="I217" t="s">
        <v>197</v>
      </c>
      <c r="J217" t="s">
        <v>309</v>
      </c>
      <c r="K217">
        <v>5</v>
      </c>
      <c r="L217" s="36">
        <v>43887</v>
      </c>
      <c r="M217">
        <v>16.2</v>
      </c>
      <c r="N217">
        <v>2.0499999999999998</v>
      </c>
      <c r="O217">
        <f t="shared" si="3"/>
        <v>18.25</v>
      </c>
    </row>
    <row r="218" spans="1:15" hidden="1">
      <c r="A218" t="s">
        <v>649</v>
      </c>
      <c r="B218" t="s">
        <v>650</v>
      </c>
      <c r="C218" t="s">
        <v>232</v>
      </c>
      <c r="D218" t="s">
        <v>192</v>
      </c>
      <c r="E218" t="s">
        <v>193</v>
      </c>
      <c r="F218" t="s">
        <v>194</v>
      </c>
      <c r="G218" t="s">
        <v>306</v>
      </c>
      <c r="H218" t="s">
        <v>196</v>
      </c>
      <c r="I218" t="s">
        <v>197</v>
      </c>
      <c r="J218" t="s">
        <v>309</v>
      </c>
      <c r="K218">
        <v>5</v>
      </c>
      <c r="L218" s="36">
        <v>43894</v>
      </c>
      <c r="M218">
        <v>189.62</v>
      </c>
      <c r="N218">
        <v>14.82</v>
      </c>
      <c r="O218">
        <f t="shared" si="3"/>
        <v>204.44</v>
      </c>
    </row>
    <row r="219" spans="1:15" hidden="1">
      <c r="A219" t="s">
        <v>651</v>
      </c>
      <c r="B219" t="s">
        <v>652</v>
      </c>
      <c r="C219" t="s">
        <v>232</v>
      </c>
      <c r="D219" t="s">
        <v>192</v>
      </c>
      <c r="E219" t="s">
        <v>193</v>
      </c>
      <c r="F219" t="s">
        <v>194</v>
      </c>
      <c r="G219" t="s">
        <v>326</v>
      </c>
      <c r="H219" t="s">
        <v>196</v>
      </c>
      <c r="I219" t="s">
        <v>197</v>
      </c>
      <c r="J219" t="s">
        <v>326</v>
      </c>
      <c r="K219">
        <v>8</v>
      </c>
      <c r="L219" s="36">
        <v>43884</v>
      </c>
      <c r="M219">
        <v>41.06</v>
      </c>
      <c r="N219">
        <v>8.8000000000000007</v>
      </c>
      <c r="O219">
        <f t="shared" si="3"/>
        <v>49.86</v>
      </c>
    </row>
    <row r="220" spans="1:15" hidden="1">
      <c r="A220" t="s">
        <v>653</v>
      </c>
      <c r="B220" t="s">
        <v>654</v>
      </c>
      <c r="C220" t="s">
        <v>232</v>
      </c>
      <c r="D220" t="s">
        <v>192</v>
      </c>
      <c r="E220" t="s">
        <v>193</v>
      </c>
      <c r="F220" t="s">
        <v>194</v>
      </c>
      <c r="G220" t="s">
        <v>306</v>
      </c>
      <c r="H220" t="s">
        <v>196</v>
      </c>
      <c r="I220" t="s">
        <v>197</v>
      </c>
      <c r="J220" t="s">
        <v>309</v>
      </c>
      <c r="K220">
        <v>5</v>
      </c>
      <c r="L220" s="36">
        <v>43870</v>
      </c>
      <c r="M220">
        <v>52.05</v>
      </c>
      <c r="N220">
        <v>7.2</v>
      </c>
      <c r="O220">
        <f t="shared" si="3"/>
        <v>59.25</v>
      </c>
    </row>
    <row r="221" spans="1:15" hidden="1">
      <c r="A221" t="s">
        <v>655</v>
      </c>
      <c r="B221" t="s">
        <v>656</v>
      </c>
      <c r="C221" t="s">
        <v>232</v>
      </c>
      <c r="D221" t="s">
        <v>192</v>
      </c>
      <c r="E221" t="s">
        <v>193</v>
      </c>
      <c r="F221" t="s">
        <v>194</v>
      </c>
      <c r="G221" t="s">
        <v>326</v>
      </c>
      <c r="H221" t="s">
        <v>196</v>
      </c>
      <c r="I221" t="s">
        <v>197</v>
      </c>
      <c r="J221" t="s">
        <v>326</v>
      </c>
      <c r="K221">
        <v>3</v>
      </c>
      <c r="L221" s="36">
        <v>43904</v>
      </c>
      <c r="M221">
        <v>64.680000000000007</v>
      </c>
      <c r="N221">
        <v>1.3</v>
      </c>
      <c r="O221">
        <f t="shared" si="3"/>
        <v>65.98</v>
      </c>
    </row>
    <row r="222" spans="1:15" hidden="1">
      <c r="A222" t="s">
        <v>657</v>
      </c>
      <c r="B222" t="s">
        <v>658</v>
      </c>
      <c r="C222" t="s">
        <v>232</v>
      </c>
      <c r="D222" t="s">
        <v>192</v>
      </c>
      <c r="E222" t="s">
        <v>193</v>
      </c>
      <c r="F222" t="s">
        <v>194</v>
      </c>
      <c r="G222" t="s">
        <v>306</v>
      </c>
      <c r="H222" t="s">
        <v>196</v>
      </c>
      <c r="I222" t="s">
        <v>197</v>
      </c>
      <c r="J222" t="s">
        <v>309</v>
      </c>
      <c r="K222">
        <v>12</v>
      </c>
      <c r="L222" s="36">
        <v>43904</v>
      </c>
      <c r="M222">
        <v>172</v>
      </c>
      <c r="N222">
        <v>14.72</v>
      </c>
      <c r="O222">
        <f t="shared" si="3"/>
        <v>186.72</v>
      </c>
    </row>
    <row r="223" spans="1:15" hidden="1">
      <c r="A223" t="s">
        <v>659</v>
      </c>
      <c r="B223" t="s">
        <v>660</v>
      </c>
      <c r="C223" t="s">
        <v>232</v>
      </c>
      <c r="D223" t="s">
        <v>192</v>
      </c>
      <c r="E223" t="s">
        <v>193</v>
      </c>
      <c r="F223" t="s">
        <v>194</v>
      </c>
      <c r="G223" t="s">
        <v>326</v>
      </c>
      <c r="H223" t="s">
        <v>196</v>
      </c>
      <c r="I223" t="s">
        <v>197</v>
      </c>
      <c r="J223" t="s">
        <v>326</v>
      </c>
      <c r="K223">
        <v>5</v>
      </c>
      <c r="L223" s="36">
        <v>43903</v>
      </c>
      <c r="M223">
        <v>45.08</v>
      </c>
      <c r="N223">
        <v>0.91</v>
      </c>
      <c r="O223">
        <f t="shared" si="3"/>
        <v>45.989999999999995</v>
      </c>
    </row>
    <row r="224" spans="1:15" hidden="1">
      <c r="A224" t="s">
        <v>661</v>
      </c>
      <c r="B224" t="s">
        <v>662</v>
      </c>
      <c r="C224" t="s">
        <v>211</v>
      </c>
      <c r="D224" t="s">
        <v>192</v>
      </c>
      <c r="E224" t="s">
        <v>193</v>
      </c>
      <c r="F224" t="s">
        <v>194</v>
      </c>
      <c r="G224" t="s">
        <v>300</v>
      </c>
      <c r="H224" t="s">
        <v>196</v>
      </c>
      <c r="I224" t="s">
        <v>197</v>
      </c>
      <c r="J224" t="s">
        <v>301</v>
      </c>
      <c r="K224">
        <v>0</v>
      </c>
      <c r="L224" s="36">
        <v>43874</v>
      </c>
      <c r="M224">
        <v>0</v>
      </c>
      <c r="N224">
        <v>0</v>
      </c>
      <c r="O224">
        <f t="shared" si="3"/>
        <v>0</v>
      </c>
    </row>
    <row r="225" spans="1:15" hidden="1">
      <c r="A225" t="s">
        <v>663</v>
      </c>
      <c r="B225" t="s">
        <v>104</v>
      </c>
      <c r="C225" t="s">
        <v>232</v>
      </c>
      <c r="D225" t="s">
        <v>192</v>
      </c>
      <c r="E225" t="s">
        <v>193</v>
      </c>
      <c r="F225" t="s">
        <v>414</v>
      </c>
      <c r="G225" t="s">
        <v>163</v>
      </c>
      <c r="H225" t="s">
        <v>196</v>
      </c>
      <c r="I225" t="s">
        <v>197</v>
      </c>
      <c r="J225" t="s">
        <v>664</v>
      </c>
      <c r="K225">
        <v>29</v>
      </c>
      <c r="L225" s="36">
        <v>43907</v>
      </c>
      <c r="M225">
        <v>7.85</v>
      </c>
      <c r="N225">
        <v>6.59</v>
      </c>
      <c r="O225">
        <f t="shared" si="3"/>
        <v>14.44</v>
      </c>
    </row>
    <row r="226" spans="1:15" hidden="1">
      <c r="A226" t="s">
        <v>665</v>
      </c>
      <c r="B226" t="s">
        <v>666</v>
      </c>
      <c r="C226" t="s">
        <v>232</v>
      </c>
      <c r="D226" t="s">
        <v>192</v>
      </c>
      <c r="E226" t="s">
        <v>193</v>
      </c>
      <c r="F226" t="s">
        <v>201</v>
      </c>
      <c r="G226" t="s">
        <v>212</v>
      </c>
      <c r="H226" t="s">
        <v>196</v>
      </c>
      <c r="I226" t="s">
        <v>197</v>
      </c>
      <c r="J226" t="s">
        <v>203</v>
      </c>
      <c r="K226">
        <v>10</v>
      </c>
      <c r="L226" s="36">
        <v>43780</v>
      </c>
      <c r="M226">
        <v>25.56</v>
      </c>
      <c r="N226">
        <v>0.03</v>
      </c>
      <c r="O226">
        <f t="shared" si="3"/>
        <v>25.59</v>
      </c>
    </row>
    <row r="227" spans="1:15" hidden="1">
      <c r="A227" t="s">
        <v>667</v>
      </c>
      <c r="B227" t="s">
        <v>668</v>
      </c>
      <c r="C227" t="s">
        <v>191</v>
      </c>
      <c r="D227" t="s">
        <v>192</v>
      </c>
      <c r="E227" t="s">
        <v>193</v>
      </c>
      <c r="F227" t="s">
        <v>201</v>
      </c>
      <c r="G227" t="s">
        <v>202</v>
      </c>
      <c r="H227" t="s">
        <v>196</v>
      </c>
      <c r="I227" t="s">
        <v>197</v>
      </c>
      <c r="J227" t="s">
        <v>206</v>
      </c>
      <c r="K227">
        <v>127</v>
      </c>
      <c r="L227" s="36">
        <v>43899</v>
      </c>
      <c r="M227">
        <v>32.17</v>
      </c>
      <c r="N227">
        <v>5.48</v>
      </c>
      <c r="O227">
        <f t="shared" si="3"/>
        <v>37.650000000000006</v>
      </c>
    </row>
    <row r="228" spans="1:15" hidden="1">
      <c r="A228" t="s">
        <v>669</v>
      </c>
      <c r="B228" t="s">
        <v>670</v>
      </c>
      <c r="C228" t="s">
        <v>211</v>
      </c>
      <c r="D228" t="s">
        <v>192</v>
      </c>
      <c r="E228" t="s">
        <v>193</v>
      </c>
      <c r="F228" t="s">
        <v>201</v>
      </c>
      <c r="G228" t="s">
        <v>202</v>
      </c>
      <c r="H228" t="s">
        <v>196</v>
      </c>
      <c r="I228" t="s">
        <v>197</v>
      </c>
      <c r="J228" t="s">
        <v>213</v>
      </c>
      <c r="K228">
        <v>0</v>
      </c>
      <c r="L228" s="36">
        <v>43826</v>
      </c>
      <c r="M228">
        <v>0</v>
      </c>
      <c r="N228">
        <v>0</v>
      </c>
      <c r="O228">
        <f t="shared" si="3"/>
        <v>0</v>
      </c>
    </row>
    <row r="229" spans="1:15" hidden="1">
      <c r="A229" t="s">
        <v>671</v>
      </c>
      <c r="B229" t="s">
        <v>672</v>
      </c>
      <c r="C229" t="s">
        <v>191</v>
      </c>
      <c r="D229" t="s">
        <v>192</v>
      </c>
      <c r="E229" t="s">
        <v>193</v>
      </c>
      <c r="F229" t="s">
        <v>201</v>
      </c>
      <c r="G229" t="s">
        <v>202</v>
      </c>
      <c r="H229" t="s">
        <v>196</v>
      </c>
      <c r="I229" t="s">
        <v>197</v>
      </c>
      <c r="J229" t="s">
        <v>206</v>
      </c>
      <c r="K229">
        <v>1433.1</v>
      </c>
      <c r="L229" s="36">
        <v>43905</v>
      </c>
      <c r="M229">
        <v>19.5</v>
      </c>
      <c r="N229">
        <v>22.51</v>
      </c>
      <c r="O229">
        <f t="shared" si="3"/>
        <v>42.010000000000005</v>
      </c>
    </row>
    <row r="230" spans="1:15">
      <c r="A230" t="s">
        <v>673</v>
      </c>
      <c r="B230" t="s">
        <v>674</v>
      </c>
      <c r="C230" t="s">
        <v>191</v>
      </c>
      <c r="D230" t="s">
        <v>192</v>
      </c>
      <c r="E230" t="s">
        <v>193</v>
      </c>
      <c r="F230" t="s">
        <v>201</v>
      </c>
      <c r="G230" t="s">
        <v>233</v>
      </c>
      <c r="H230" t="s">
        <v>196</v>
      </c>
      <c r="I230" t="s">
        <v>197</v>
      </c>
      <c r="J230" t="s">
        <v>234</v>
      </c>
      <c r="K230">
        <v>1722.6</v>
      </c>
      <c r="L230" s="36">
        <v>43866</v>
      </c>
      <c r="M230">
        <v>1.78</v>
      </c>
      <c r="N230">
        <v>1.35</v>
      </c>
      <c r="O230">
        <f t="shared" si="3"/>
        <v>3.13</v>
      </c>
    </row>
    <row r="231" spans="1:15" hidden="1">
      <c r="A231" t="s">
        <v>675</v>
      </c>
      <c r="B231" t="s">
        <v>676</v>
      </c>
      <c r="C231" t="s">
        <v>232</v>
      </c>
      <c r="D231" t="s">
        <v>192</v>
      </c>
      <c r="E231" t="s">
        <v>193</v>
      </c>
      <c r="F231" t="s">
        <v>414</v>
      </c>
      <c r="G231" t="s">
        <v>163</v>
      </c>
      <c r="H231" t="s">
        <v>196</v>
      </c>
      <c r="I231" t="s">
        <v>197</v>
      </c>
      <c r="J231" t="s">
        <v>664</v>
      </c>
      <c r="K231">
        <v>98.4</v>
      </c>
      <c r="L231" s="36">
        <v>43813</v>
      </c>
      <c r="M231">
        <v>22.27</v>
      </c>
      <c r="N231">
        <v>1.41</v>
      </c>
      <c r="O231">
        <f t="shared" si="3"/>
        <v>23.68</v>
      </c>
    </row>
    <row r="232" spans="1:15" hidden="1">
      <c r="A232" t="s">
        <v>677</v>
      </c>
      <c r="B232" t="s">
        <v>678</v>
      </c>
      <c r="C232" t="s">
        <v>232</v>
      </c>
      <c r="D232" t="s">
        <v>192</v>
      </c>
      <c r="E232" t="s">
        <v>193</v>
      </c>
      <c r="F232" t="s">
        <v>414</v>
      </c>
      <c r="G232" t="s">
        <v>163</v>
      </c>
      <c r="H232" t="s">
        <v>196</v>
      </c>
      <c r="I232" t="s">
        <v>197</v>
      </c>
      <c r="J232" t="s">
        <v>664</v>
      </c>
      <c r="K232">
        <v>423</v>
      </c>
      <c r="L232" s="36">
        <v>43894</v>
      </c>
      <c r="M232">
        <v>1.24</v>
      </c>
      <c r="N232">
        <v>4.28</v>
      </c>
      <c r="O232">
        <f t="shared" si="3"/>
        <v>5.5200000000000005</v>
      </c>
    </row>
    <row r="233" spans="1:15" hidden="1">
      <c r="A233" t="s">
        <v>679</v>
      </c>
      <c r="B233" t="s">
        <v>150</v>
      </c>
      <c r="C233" t="s">
        <v>232</v>
      </c>
      <c r="D233" t="s">
        <v>192</v>
      </c>
      <c r="E233" t="s">
        <v>193</v>
      </c>
      <c r="F233" t="s">
        <v>414</v>
      </c>
      <c r="G233" t="s">
        <v>163</v>
      </c>
      <c r="H233" t="s">
        <v>196</v>
      </c>
      <c r="I233" t="s">
        <v>197</v>
      </c>
      <c r="J233" t="s">
        <v>680</v>
      </c>
      <c r="K233">
        <v>40.22</v>
      </c>
      <c r="L233" s="36">
        <v>43890</v>
      </c>
      <c r="M233">
        <v>0.02</v>
      </c>
      <c r="N233">
        <v>2.33</v>
      </c>
      <c r="O233">
        <f t="shared" si="3"/>
        <v>2.35</v>
      </c>
    </row>
    <row r="234" spans="1:15" hidden="1">
      <c r="A234" t="s">
        <v>681</v>
      </c>
      <c r="B234" t="s">
        <v>682</v>
      </c>
      <c r="C234" t="s">
        <v>191</v>
      </c>
      <c r="D234" t="s">
        <v>192</v>
      </c>
      <c r="E234" t="s">
        <v>193</v>
      </c>
      <c r="F234" t="s">
        <v>201</v>
      </c>
      <c r="G234" t="s">
        <v>233</v>
      </c>
      <c r="H234" t="s">
        <v>196</v>
      </c>
      <c r="I234" t="s">
        <v>197</v>
      </c>
      <c r="J234" t="s">
        <v>234</v>
      </c>
      <c r="K234">
        <v>1198</v>
      </c>
      <c r="L234" s="36">
        <v>43870</v>
      </c>
      <c r="M234">
        <v>2.65</v>
      </c>
      <c r="N234">
        <v>1.06</v>
      </c>
      <c r="O234">
        <f t="shared" si="3"/>
        <v>3.71</v>
      </c>
    </row>
    <row r="235" spans="1:15" hidden="1">
      <c r="A235" t="s">
        <v>683</v>
      </c>
      <c r="B235" t="s">
        <v>684</v>
      </c>
      <c r="C235" t="s">
        <v>191</v>
      </c>
      <c r="D235" t="s">
        <v>192</v>
      </c>
      <c r="E235" t="s">
        <v>193</v>
      </c>
      <c r="F235" t="s">
        <v>201</v>
      </c>
      <c r="G235" t="s">
        <v>233</v>
      </c>
      <c r="H235" t="s">
        <v>196</v>
      </c>
      <c r="I235" t="s">
        <v>197</v>
      </c>
      <c r="J235" t="s">
        <v>234</v>
      </c>
      <c r="K235">
        <v>235.43</v>
      </c>
      <c r="L235" s="36">
        <v>43851</v>
      </c>
      <c r="M235">
        <v>13.38</v>
      </c>
      <c r="N235">
        <v>1.37</v>
      </c>
      <c r="O235">
        <f t="shared" si="3"/>
        <v>14.75</v>
      </c>
    </row>
    <row r="236" spans="1:15" hidden="1">
      <c r="A236" t="s">
        <v>685</v>
      </c>
      <c r="B236" t="s">
        <v>686</v>
      </c>
      <c r="C236" t="s">
        <v>191</v>
      </c>
      <c r="D236" t="s">
        <v>192</v>
      </c>
      <c r="E236" t="s">
        <v>193</v>
      </c>
      <c r="F236" t="s">
        <v>194</v>
      </c>
      <c r="G236" t="s">
        <v>536</v>
      </c>
      <c r="H236" t="s">
        <v>196</v>
      </c>
      <c r="I236" t="s">
        <v>197</v>
      </c>
      <c r="J236" t="s">
        <v>537</v>
      </c>
      <c r="K236">
        <v>130</v>
      </c>
      <c r="L236" s="36">
        <v>43896</v>
      </c>
      <c r="M236">
        <v>0.32</v>
      </c>
      <c r="N236">
        <v>1.28</v>
      </c>
      <c r="O236">
        <f t="shared" si="3"/>
        <v>1.6</v>
      </c>
    </row>
    <row r="237" spans="1:15" hidden="1">
      <c r="A237" t="s">
        <v>687</v>
      </c>
      <c r="B237" t="s">
        <v>688</v>
      </c>
      <c r="C237" t="s">
        <v>191</v>
      </c>
      <c r="D237" t="s">
        <v>192</v>
      </c>
      <c r="E237" t="s">
        <v>193</v>
      </c>
      <c r="F237" t="s">
        <v>201</v>
      </c>
      <c r="G237" t="s">
        <v>233</v>
      </c>
      <c r="H237" t="s">
        <v>196</v>
      </c>
      <c r="I237" t="s">
        <v>197</v>
      </c>
      <c r="J237" t="s">
        <v>234</v>
      </c>
      <c r="K237">
        <v>821.25</v>
      </c>
      <c r="L237" s="36">
        <v>43857</v>
      </c>
      <c r="M237">
        <v>9.93</v>
      </c>
      <c r="N237">
        <v>0.55000000000000004</v>
      </c>
      <c r="O237">
        <f t="shared" si="3"/>
        <v>10.48</v>
      </c>
    </row>
    <row r="238" spans="1:15" hidden="1">
      <c r="A238" t="s">
        <v>689</v>
      </c>
      <c r="B238" t="s">
        <v>690</v>
      </c>
      <c r="C238" t="s">
        <v>191</v>
      </c>
      <c r="D238" t="s">
        <v>192</v>
      </c>
      <c r="E238" t="s">
        <v>193</v>
      </c>
      <c r="F238" t="s">
        <v>201</v>
      </c>
      <c r="G238" t="s">
        <v>233</v>
      </c>
      <c r="H238" t="s">
        <v>196</v>
      </c>
      <c r="I238" t="s">
        <v>197</v>
      </c>
      <c r="J238" t="s">
        <v>234</v>
      </c>
      <c r="K238">
        <v>257.92</v>
      </c>
      <c r="L238" s="36">
        <v>43892</v>
      </c>
      <c r="M238">
        <v>18.55</v>
      </c>
      <c r="N238">
        <v>2.2000000000000002</v>
      </c>
      <c r="O238">
        <f t="shared" si="3"/>
        <v>20.75</v>
      </c>
    </row>
    <row r="239" spans="1:15" hidden="1">
      <c r="A239" t="s">
        <v>691</v>
      </c>
      <c r="B239" t="s">
        <v>692</v>
      </c>
      <c r="C239" t="s">
        <v>191</v>
      </c>
      <c r="D239" t="s">
        <v>192</v>
      </c>
      <c r="E239" t="s">
        <v>193</v>
      </c>
      <c r="F239" t="s">
        <v>194</v>
      </c>
      <c r="G239" t="s">
        <v>195</v>
      </c>
      <c r="H239" t="s">
        <v>196</v>
      </c>
      <c r="I239" t="s">
        <v>197</v>
      </c>
      <c r="J239" t="s">
        <v>198</v>
      </c>
      <c r="K239">
        <v>0</v>
      </c>
      <c r="L239" s="36">
        <v>43898</v>
      </c>
      <c r="M239">
        <v>2.93</v>
      </c>
      <c r="N239">
        <v>0.97</v>
      </c>
      <c r="O239">
        <f t="shared" si="3"/>
        <v>3.9000000000000004</v>
      </c>
    </row>
    <row r="240" spans="1:15" hidden="1">
      <c r="A240" t="s">
        <v>693</v>
      </c>
      <c r="B240" t="s">
        <v>694</v>
      </c>
      <c r="C240" t="s">
        <v>191</v>
      </c>
      <c r="D240" t="s">
        <v>192</v>
      </c>
      <c r="E240" t="s">
        <v>193</v>
      </c>
      <c r="F240" t="s">
        <v>201</v>
      </c>
      <c r="G240" t="s">
        <v>212</v>
      </c>
      <c r="H240" t="s">
        <v>196</v>
      </c>
      <c r="I240" t="s">
        <v>197</v>
      </c>
      <c r="J240" t="s">
        <v>203</v>
      </c>
      <c r="K240">
        <v>484</v>
      </c>
      <c r="L240" s="36">
        <v>43848</v>
      </c>
      <c r="M240">
        <v>2.0299999999999998</v>
      </c>
      <c r="N240">
        <v>10.53</v>
      </c>
      <c r="O240">
        <f t="shared" si="3"/>
        <v>12.559999999999999</v>
      </c>
    </row>
    <row r="241" spans="1:15" hidden="1">
      <c r="A241" t="s">
        <v>695</v>
      </c>
      <c r="B241" t="s">
        <v>696</v>
      </c>
      <c r="C241" t="s">
        <v>191</v>
      </c>
      <c r="D241" t="s">
        <v>192</v>
      </c>
      <c r="E241" t="s">
        <v>193</v>
      </c>
      <c r="F241" t="s">
        <v>194</v>
      </c>
      <c r="G241" t="s">
        <v>536</v>
      </c>
      <c r="H241" t="s">
        <v>196</v>
      </c>
      <c r="I241" t="s">
        <v>197</v>
      </c>
      <c r="J241" t="s">
        <v>537</v>
      </c>
      <c r="K241">
        <v>125</v>
      </c>
      <c r="L241" s="36">
        <v>43907</v>
      </c>
      <c r="M241">
        <v>0.71</v>
      </c>
      <c r="N241">
        <v>2.39</v>
      </c>
      <c r="O241">
        <f t="shared" si="3"/>
        <v>3.1</v>
      </c>
    </row>
    <row r="242" spans="1:15" hidden="1">
      <c r="A242" t="s">
        <v>697</v>
      </c>
      <c r="B242" t="s">
        <v>698</v>
      </c>
      <c r="C242" t="s">
        <v>211</v>
      </c>
      <c r="D242" t="s">
        <v>192</v>
      </c>
      <c r="E242" t="s">
        <v>193</v>
      </c>
      <c r="F242" t="s">
        <v>194</v>
      </c>
      <c r="G242" t="s">
        <v>326</v>
      </c>
      <c r="H242" t="s">
        <v>196</v>
      </c>
      <c r="I242" t="s">
        <v>197</v>
      </c>
      <c r="J242" t="s">
        <v>301</v>
      </c>
      <c r="K242">
        <v>0</v>
      </c>
      <c r="L242" s="36">
        <v>43874</v>
      </c>
      <c r="M242">
        <v>0</v>
      </c>
      <c r="N242">
        <v>0</v>
      </c>
      <c r="O242">
        <f t="shared" si="3"/>
        <v>0</v>
      </c>
    </row>
    <row r="243" spans="1:15" hidden="1">
      <c r="A243" t="s">
        <v>699</v>
      </c>
      <c r="B243" t="s">
        <v>700</v>
      </c>
      <c r="C243" t="s">
        <v>232</v>
      </c>
      <c r="D243" t="s">
        <v>192</v>
      </c>
      <c r="E243" t="s">
        <v>193</v>
      </c>
      <c r="F243" t="s">
        <v>194</v>
      </c>
      <c r="G243" t="s">
        <v>326</v>
      </c>
      <c r="H243" t="s">
        <v>196</v>
      </c>
      <c r="I243" t="s">
        <v>197</v>
      </c>
      <c r="J243" t="s">
        <v>326</v>
      </c>
      <c r="K243">
        <v>8</v>
      </c>
      <c r="L243" s="36">
        <v>43904</v>
      </c>
      <c r="M243">
        <v>58.12</v>
      </c>
      <c r="N243">
        <v>9.0500000000000007</v>
      </c>
      <c r="O243">
        <f t="shared" si="3"/>
        <v>67.17</v>
      </c>
    </row>
    <row r="244" spans="1:15" hidden="1">
      <c r="A244" t="s">
        <v>701</v>
      </c>
      <c r="B244" t="s">
        <v>702</v>
      </c>
      <c r="C244" t="s">
        <v>232</v>
      </c>
      <c r="D244" t="s">
        <v>192</v>
      </c>
      <c r="E244" t="s">
        <v>193</v>
      </c>
      <c r="F244" t="s">
        <v>194</v>
      </c>
      <c r="G244" t="s">
        <v>306</v>
      </c>
      <c r="H244" t="s">
        <v>196</v>
      </c>
      <c r="I244" t="s">
        <v>197</v>
      </c>
      <c r="J244" t="s">
        <v>309</v>
      </c>
      <c r="K244">
        <v>9</v>
      </c>
      <c r="L244" s="36">
        <v>43894</v>
      </c>
      <c r="M244">
        <v>63.99</v>
      </c>
      <c r="N244">
        <v>5.12</v>
      </c>
      <c r="O244">
        <f t="shared" si="3"/>
        <v>69.11</v>
      </c>
    </row>
    <row r="245" spans="1:15" hidden="1">
      <c r="A245" t="s">
        <v>703</v>
      </c>
      <c r="B245" t="s">
        <v>704</v>
      </c>
      <c r="C245" t="s">
        <v>191</v>
      </c>
      <c r="D245" t="s">
        <v>192</v>
      </c>
      <c r="E245" t="s">
        <v>193</v>
      </c>
      <c r="F245" t="s">
        <v>194</v>
      </c>
      <c r="G245" t="s">
        <v>513</v>
      </c>
      <c r="H245" t="s">
        <v>196</v>
      </c>
      <c r="I245" t="s">
        <v>197</v>
      </c>
      <c r="J245" t="s">
        <v>513</v>
      </c>
      <c r="K245">
        <v>2285</v>
      </c>
      <c r="L245" s="36">
        <v>43906</v>
      </c>
      <c r="M245">
        <v>75.97</v>
      </c>
      <c r="N245">
        <v>5.98</v>
      </c>
      <c r="O245">
        <f t="shared" si="3"/>
        <v>81.95</v>
      </c>
    </row>
    <row r="246" spans="1:15" hidden="1">
      <c r="A246" t="s">
        <v>705</v>
      </c>
      <c r="B246" t="s">
        <v>706</v>
      </c>
      <c r="C246" t="s">
        <v>211</v>
      </c>
      <c r="D246" t="s">
        <v>192</v>
      </c>
      <c r="E246" t="s">
        <v>193</v>
      </c>
      <c r="F246" t="s">
        <v>201</v>
      </c>
      <c r="G246" t="s">
        <v>212</v>
      </c>
      <c r="H246" t="s">
        <v>196</v>
      </c>
      <c r="I246" t="s">
        <v>197</v>
      </c>
      <c r="J246" t="s">
        <v>213</v>
      </c>
      <c r="K246">
        <v>0</v>
      </c>
      <c r="L246" s="36">
        <v>43826</v>
      </c>
      <c r="M246">
        <v>0</v>
      </c>
      <c r="N246">
        <v>0</v>
      </c>
      <c r="O246">
        <f t="shared" si="3"/>
        <v>0</v>
      </c>
    </row>
    <row r="247" spans="1:15" hidden="1">
      <c r="A247" t="s">
        <v>707</v>
      </c>
      <c r="B247" t="s">
        <v>708</v>
      </c>
      <c r="C247" t="s">
        <v>211</v>
      </c>
      <c r="D247" t="s">
        <v>192</v>
      </c>
      <c r="E247" t="s">
        <v>193</v>
      </c>
      <c r="F247" t="s">
        <v>201</v>
      </c>
      <c r="G247" t="s">
        <v>202</v>
      </c>
      <c r="H247" t="s">
        <v>196</v>
      </c>
      <c r="I247" t="s">
        <v>197</v>
      </c>
      <c r="J247" t="s">
        <v>213</v>
      </c>
      <c r="K247">
        <v>0</v>
      </c>
      <c r="L247" s="36">
        <v>43826</v>
      </c>
      <c r="M247">
        <v>0</v>
      </c>
      <c r="N247">
        <v>0</v>
      </c>
      <c r="O247">
        <f t="shared" si="3"/>
        <v>0</v>
      </c>
    </row>
    <row r="248" spans="1:15" hidden="1">
      <c r="A248" t="s">
        <v>709</v>
      </c>
      <c r="B248" t="s">
        <v>710</v>
      </c>
      <c r="C248" t="s">
        <v>191</v>
      </c>
      <c r="D248" t="s">
        <v>192</v>
      </c>
      <c r="E248" t="s">
        <v>193</v>
      </c>
      <c r="F248" t="s">
        <v>201</v>
      </c>
      <c r="G248" t="s">
        <v>212</v>
      </c>
      <c r="H248" t="s">
        <v>196</v>
      </c>
      <c r="I248" t="s">
        <v>197</v>
      </c>
      <c r="J248" t="s">
        <v>203</v>
      </c>
      <c r="K248">
        <v>6367</v>
      </c>
      <c r="L248" s="36">
        <v>43740</v>
      </c>
      <c r="M248">
        <v>13.09</v>
      </c>
      <c r="N248">
        <v>7.37</v>
      </c>
      <c r="O248">
        <f t="shared" si="3"/>
        <v>20.46</v>
      </c>
    </row>
    <row r="249" spans="1:15" hidden="1">
      <c r="A249" t="s">
        <v>711</v>
      </c>
      <c r="B249" t="s">
        <v>712</v>
      </c>
      <c r="C249" t="s">
        <v>191</v>
      </c>
      <c r="D249" t="s">
        <v>192</v>
      </c>
      <c r="E249" t="s">
        <v>193</v>
      </c>
      <c r="F249" t="s">
        <v>201</v>
      </c>
      <c r="G249" t="s">
        <v>202</v>
      </c>
      <c r="H249" t="s">
        <v>196</v>
      </c>
      <c r="I249" t="s">
        <v>197</v>
      </c>
      <c r="J249" t="s">
        <v>206</v>
      </c>
      <c r="K249">
        <v>10</v>
      </c>
      <c r="L249" s="36">
        <v>43897</v>
      </c>
      <c r="M249">
        <v>1.27</v>
      </c>
      <c r="N249">
        <v>3.99</v>
      </c>
      <c r="O249">
        <f t="shared" si="3"/>
        <v>5.26</v>
      </c>
    </row>
    <row r="250" spans="1:15" hidden="1">
      <c r="A250" t="s">
        <v>713</v>
      </c>
      <c r="B250" t="s">
        <v>714</v>
      </c>
      <c r="C250" t="s">
        <v>211</v>
      </c>
      <c r="D250" t="s">
        <v>192</v>
      </c>
      <c r="E250" t="s">
        <v>193</v>
      </c>
      <c r="F250" t="s">
        <v>201</v>
      </c>
      <c r="G250" t="s">
        <v>212</v>
      </c>
      <c r="H250" t="s">
        <v>196</v>
      </c>
      <c r="I250" t="s">
        <v>197</v>
      </c>
      <c r="J250" t="s">
        <v>213</v>
      </c>
      <c r="K250">
        <v>0</v>
      </c>
      <c r="L250" s="36">
        <v>43826</v>
      </c>
      <c r="M250">
        <v>0</v>
      </c>
      <c r="N250">
        <v>0</v>
      </c>
      <c r="O250">
        <f t="shared" si="3"/>
        <v>0</v>
      </c>
    </row>
    <row r="251" spans="1:15" hidden="1">
      <c r="A251" t="s">
        <v>715</v>
      </c>
      <c r="B251" t="s">
        <v>716</v>
      </c>
      <c r="C251" t="s">
        <v>191</v>
      </c>
      <c r="D251" t="s">
        <v>192</v>
      </c>
      <c r="E251" t="s">
        <v>193</v>
      </c>
      <c r="F251" t="s">
        <v>201</v>
      </c>
      <c r="G251" t="s">
        <v>233</v>
      </c>
      <c r="H251" t="s">
        <v>196</v>
      </c>
      <c r="I251" t="s">
        <v>197</v>
      </c>
      <c r="J251" t="s">
        <v>234</v>
      </c>
      <c r="K251">
        <v>44173.95</v>
      </c>
      <c r="L251" s="36">
        <v>43908</v>
      </c>
      <c r="M251">
        <v>14.12</v>
      </c>
      <c r="N251">
        <v>4.4800000000000004</v>
      </c>
      <c r="O251">
        <f t="shared" si="3"/>
        <v>18.600000000000001</v>
      </c>
    </row>
    <row r="252" spans="1:15" hidden="1">
      <c r="A252" t="s">
        <v>717</v>
      </c>
      <c r="B252" t="s">
        <v>718</v>
      </c>
      <c r="C252" t="s">
        <v>232</v>
      </c>
      <c r="D252" t="s">
        <v>192</v>
      </c>
      <c r="E252" t="s">
        <v>193</v>
      </c>
      <c r="F252" t="s">
        <v>194</v>
      </c>
      <c r="G252" t="s">
        <v>326</v>
      </c>
      <c r="H252" t="s">
        <v>196</v>
      </c>
      <c r="I252" t="s">
        <v>197</v>
      </c>
      <c r="J252" t="s">
        <v>326</v>
      </c>
      <c r="K252">
        <v>5</v>
      </c>
      <c r="L252" s="36">
        <v>43879</v>
      </c>
      <c r="M252">
        <v>193.05</v>
      </c>
      <c r="N252">
        <v>3.91</v>
      </c>
      <c r="O252">
        <f t="shared" si="3"/>
        <v>196.96</v>
      </c>
    </row>
    <row r="253" spans="1:15" hidden="1">
      <c r="A253" t="s">
        <v>719</v>
      </c>
      <c r="B253" t="s">
        <v>720</v>
      </c>
      <c r="C253" t="s">
        <v>232</v>
      </c>
      <c r="D253" t="s">
        <v>192</v>
      </c>
      <c r="E253" t="s">
        <v>193</v>
      </c>
      <c r="F253" t="s">
        <v>194</v>
      </c>
      <c r="G253" t="s">
        <v>326</v>
      </c>
      <c r="H253" t="s">
        <v>196</v>
      </c>
      <c r="I253" t="s">
        <v>197</v>
      </c>
      <c r="J253" t="s">
        <v>326</v>
      </c>
      <c r="K253">
        <v>6</v>
      </c>
      <c r="L253" s="36">
        <v>43904</v>
      </c>
      <c r="M253">
        <v>82.65</v>
      </c>
      <c r="N253">
        <v>4.3499999999999996</v>
      </c>
      <c r="O253">
        <f t="shared" si="3"/>
        <v>87</v>
      </c>
    </row>
    <row r="254" spans="1:15" hidden="1">
      <c r="A254" t="s">
        <v>721</v>
      </c>
      <c r="B254" t="s">
        <v>722</v>
      </c>
      <c r="C254" t="s">
        <v>232</v>
      </c>
      <c r="D254" t="s">
        <v>192</v>
      </c>
      <c r="E254" t="s">
        <v>193</v>
      </c>
      <c r="F254" t="s">
        <v>194</v>
      </c>
      <c r="G254" t="s">
        <v>326</v>
      </c>
      <c r="H254" t="s">
        <v>196</v>
      </c>
      <c r="I254" t="s">
        <v>197</v>
      </c>
      <c r="J254" t="s">
        <v>326</v>
      </c>
      <c r="K254">
        <v>6</v>
      </c>
      <c r="L254" s="36">
        <v>43903</v>
      </c>
      <c r="M254">
        <v>166.63</v>
      </c>
      <c r="N254">
        <v>2.3199999999999998</v>
      </c>
      <c r="O254">
        <f t="shared" si="3"/>
        <v>168.95</v>
      </c>
    </row>
    <row r="255" spans="1:15" hidden="1">
      <c r="A255" t="s">
        <v>723</v>
      </c>
      <c r="B255" t="s">
        <v>724</v>
      </c>
      <c r="C255" t="s">
        <v>191</v>
      </c>
      <c r="D255" t="s">
        <v>192</v>
      </c>
      <c r="E255" t="s">
        <v>193</v>
      </c>
      <c r="F255" t="s">
        <v>194</v>
      </c>
      <c r="G255" t="s">
        <v>725</v>
      </c>
      <c r="H255" t="s">
        <v>196</v>
      </c>
      <c r="I255" t="s">
        <v>197</v>
      </c>
      <c r="J255" t="s">
        <v>725</v>
      </c>
      <c r="K255">
        <v>110</v>
      </c>
      <c r="L255" s="36">
        <v>43907</v>
      </c>
      <c r="M255">
        <v>74.709999999999994</v>
      </c>
      <c r="N255">
        <v>1.29</v>
      </c>
      <c r="O255">
        <f t="shared" si="3"/>
        <v>76</v>
      </c>
    </row>
    <row r="256" spans="1:15" hidden="1">
      <c r="A256" t="s">
        <v>726</v>
      </c>
      <c r="B256" t="s">
        <v>727</v>
      </c>
      <c r="C256" t="s">
        <v>191</v>
      </c>
      <c r="D256" t="s">
        <v>192</v>
      </c>
      <c r="E256" t="s">
        <v>193</v>
      </c>
      <c r="F256" t="s">
        <v>194</v>
      </c>
      <c r="G256" t="s">
        <v>725</v>
      </c>
      <c r="H256" t="s">
        <v>196</v>
      </c>
      <c r="I256" t="s">
        <v>197</v>
      </c>
      <c r="J256" t="s">
        <v>725</v>
      </c>
      <c r="K256">
        <v>110</v>
      </c>
      <c r="L256" s="36">
        <v>43901</v>
      </c>
      <c r="M256">
        <v>12.24</v>
      </c>
      <c r="N256">
        <v>1.06</v>
      </c>
      <c r="O256">
        <f t="shared" si="3"/>
        <v>13.3</v>
      </c>
    </row>
    <row r="257" spans="1:15" hidden="1">
      <c r="A257" t="s">
        <v>728</v>
      </c>
      <c r="B257" t="s">
        <v>729</v>
      </c>
      <c r="C257" t="s">
        <v>232</v>
      </c>
      <c r="D257" t="s">
        <v>192</v>
      </c>
      <c r="E257" t="s">
        <v>193</v>
      </c>
      <c r="F257" t="s">
        <v>194</v>
      </c>
      <c r="G257" t="s">
        <v>306</v>
      </c>
      <c r="H257" t="s">
        <v>196</v>
      </c>
      <c r="I257" t="s">
        <v>197</v>
      </c>
      <c r="J257" t="s">
        <v>309</v>
      </c>
      <c r="K257">
        <v>6</v>
      </c>
      <c r="L257" s="36">
        <v>43894</v>
      </c>
      <c r="M257">
        <v>56.8</v>
      </c>
      <c r="N257">
        <v>4.62</v>
      </c>
      <c r="O257">
        <f t="shared" si="3"/>
        <v>61.419999999999995</v>
      </c>
    </row>
    <row r="258" spans="1:15" hidden="1">
      <c r="A258" t="s">
        <v>730</v>
      </c>
      <c r="B258" t="s">
        <v>731</v>
      </c>
      <c r="C258" t="s">
        <v>191</v>
      </c>
      <c r="D258" t="s">
        <v>192</v>
      </c>
      <c r="E258" t="s">
        <v>193</v>
      </c>
      <c r="F258" t="s">
        <v>201</v>
      </c>
      <c r="G258" t="s">
        <v>212</v>
      </c>
      <c r="H258" t="s">
        <v>196</v>
      </c>
      <c r="I258" t="s">
        <v>197</v>
      </c>
      <c r="J258" t="s">
        <v>203</v>
      </c>
      <c r="K258">
        <v>2474</v>
      </c>
      <c r="L258" s="36">
        <v>43848</v>
      </c>
      <c r="M258">
        <v>2.75</v>
      </c>
      <c r="N258">
        <v>2.71</v>
      </c>
      <c r="O258">
        <f t="shared" si="3"/>
        <v>5.46</v>
      </c>
    </row>
    <row r="259" spans="1:15" hidden="1">
      <c r="A259" t="s">
        <v>732</v>
      </c>
      <c r="B259" t="s">
        <v>733</v>
      </c>
      <c r="C259" t="s">
        <v>232</v>
      </c>
      <c r="D259" t="s">
        <v>192</v>
      </c>
      <c r="E259" t="s">
        <v>193</v>
      </c>
      <c r="F259" t="s">
        <v>194</v>
      </c>
      <c r="G259" t="s">
        <v>306</v>
      </c>
      <c r="H259" t="s">
        <v>196</v>
      </c>
      <c r="I259" t="s">
        <v>197</v>
      </c>
      <c r="J259" t="s">
        <v>309</v>
      </c>
      <c r="K259">
        <v>19.2</v>
      </c>
      <c r="L259" s="36">
        <v>43907</v>
      </c>
      <c r="M259">
        <v>137.44999999999999</v>
      </c>
      <c r="N259">
        <v>12.72</v>
      </c>
      <c r="O259">
        <f t="shared" ref="O259:O322" si="4">M259+N259</f>
        <v>150.16999999999999</v>
      </c>
    </row>
    <row r="260" spans="1:15" hidden="1">
      <c r="A260" t="s">
        <v>734</v>
      </c>
      <c r="B260" t="s">
        <v>735</v>
      </c>
      <c r="C260" t="s">
        <v>211</v>
      </c>
      <c r="D260" t="s">
        <v>192</v>
      </c>
      <c r="E260" t="s">
        <v>193</v>
      </c>
      <c r="F260" t="s">
        <v>201</v>
      </c>
      <c r="G260" t="s">
        <v>202</v>
      </c>
      <c r="H260" t="s">
        <v>196</v>
      </c>
      <c r="I260" t="s">
        <v>197</v>
      </c>
      <c r="J260" t="s">
        <v>213</v>
      </c>
      <c r="K260">
        <v>0</v>
      </c>
      <c r="L260" s="36">
        <v>43826</v>
      </c>
      <c r="M260">
        <v>0</v>
      </c>
      <c r="N260">
        <v>0</v>
      </c>
      <c r="O260">
        <f t="shared" si="4"/>
        <v>0</v>
      </c>
    </row>
    <row r="261" spans="1:15" hidden="1">
      <c r="A261" t="s">
        <v>736</v>
      </c>
      <c r="B261" t="s">
        <v>737</v>
      </c>
      <c r="C261" t="s">
        <v>211</v>
      </c>
      <c r="D261" t="s">
        <v>192</v>
      </c>
      <c r="E261" t="s">
        <v>193</v>
      </c>
      <c r="F261" t="s">
        <v>194</v>
      </c>
      <c r="G261" t="s">
        <v>300</v>
      </c>
      <c r="H261" t="s">
        <v>196</v>
      </c>
      <c r="I261" t="s">
        <v>197</v>
      </c>
      <c r="J261" t="s">
        <v>301</v>
      </c>
      <c r="K261">
        <v>0</v>
      </c>
      <c r="L261" s="36">
        <v>43874</v>
      </c>
      <c r="M261">
        <v>0</v>
      </c>
      <c r="N261">
        <v>0</v>
      </c>
      <c r="O261">
        <f t="shared" si="4"/>
        <v>0</v>
      </c>
    </row>
    <row r="262" spans="1:15" hidden="1">
      <c r="A262" t="s">
        <v>738</v>
      </c>
      <c r="B262" t="s">
        <v>739</v>
      </c>
      <c r="C262" t="s">
        <v>191</v>
      </c>
      <c r="D262" t="s">
        <v>192</v>
      </c>
      <c r="E262" t="s">
        <v>193</v>
      </c>
      <c r="F262" t="s">
        <v>201</v>
      </c>
      <c r="G262" t="s">
        <v>212</v>
      </c>
      <c r="H262" t="s">
        <v>196</v>
      </c>
      <c r="I262" t="s">
        <v>197</v>
      </c>
      <c r="J262" t="s">
        <v>203</v>
      </c>
      <c r="K262">
        <v>8913</v>
      </c>
      <c r="L262" s="36">
        <v>43759</v>
      </c>
      <c r="M262">
        <v>3.57</v>
      </c>
      <c r="N262">
        <v>3.2</v>
      </c>
      <c r="O262">
        <f t="shared" si="4"/>
        <v>6.77</v>
      </c>
    </row>
    <row r="263" spans="1:15" hidden="1">
      <c r="A263" t="s">
        <v>740</v>
      </c>
      <c r="B263" t="s">
        <v>741</v>
      </c>
      <c r="C263" t="s">
        <v>232</v>
      </c>
      <c r="D263" t="s">
        <v>192</v>
      </c>
      <c r="E263" t="s">
        <v>193</v>
      </c>
      <c r="F263" t="s">
        <v>194</v>
      </c>
      <c r="G263" t="s">
        <v>306</v>
      </c>
      <c r="H263" t="s">
        <v>196</v>
      </c>
      <c r="I263" t="s">
        <v>197</v>
      </c>
      <c r="J263" t="s">
        <v>309</v>
      </c>
      <c r="K263">
        <v>4</v>
      </c>
      <c r="L263" s="36">
        <v>43869</v>
      </c>
      <c r="M263">
        <v>37.200000000000003</v>
      </c>
      <c r="N263">
        <v>8.26</v>
      </c>
      <c r="O263">
        <f t="shared" si="4"/>
        <v>45.46</v>
      </c>
    </row>
    <row r="264" spans="1:15" hidden="1">
      <c r="A264" t="s">
        <v>742</v>
      </c>
      <c r="B264" t="s">
        <v>743</v>
      </c>
      <c r="C264" t="s">
        <v>232</v>
      </c>
      <c r="D264" t="s">
        <v>192</v>
      </c>
      <c r="E264" t="s">
        <v>193</v>
      </c>
      <c r="F264" t="s">
        <v>194</v>
      </c>
      <c r="G264" t="s">
        <v>326</v>
      </c>
      <c r="H264" t="s">
        <v>196</v>
      </c>
      <c r="I264" t="s">
        <v>197</v>
      </c>
      <c r="J264" t="s">
        <v>326</v>
      </c>
      <c r="K264">
        <v>5</v>
      </c>
      <c r="L264" s="36">
        <v>43905</v>
      </c>
      <c r="M264">
        <v>32.32</v>
      </c>
      <c r="N264">
        <v>6.93</v>
      </c>
      <c r="O264">
        <f t="shared" si="4"/>
        <v>39.25</v>
      </c>
    </row>
    <row r="265" spans="1:15" hidden="1">
      <c r="A265" t="s">
        <v>744</v>
      </c>
      <c r="B265" t="s">
        <v>745</v>
      </c>
      <c r="C265" t="s">
        <v>211</v>
      </c>
      <c r="D265" t="s">
        <v>192</v>
      </c>
      <c r="E265" t="s">
        <v>193</v>
      </c>
      <c r="F265" t="s">
        <v>201</v>
      </c>
      <c r="G265" t="s">
        <v>202</v>
      </c>
      <c r="H265" t="s">
        <v>196</v>
      </c>
      <c r="I265" t="s">
        <v>197</v>
      </c>
      <c r="J265" t="s">
        <v>213</v>
      </c>
      <c r="K265">
        <v>0</v>
      </c>
      <c r="L265" s="36">
        <v>43826</v>
      </c>
      <c r="M265">
        <v>0</v>
      </c>
      <c r="N265">
        <v>0</v>
      </c>
      <c r="O265">
        <f t="shared" si="4"/>
        <v>0</v>
      </c>
    </row>
    <row r="266" spans="1:15" hidden="1">
      <c r="A266" t="s">
        <v>746</v>
      </c>
      <c r="B266" t="s">
        <v>747</v>
      </c>
      <c r="C266" t="s">
        <v>191</v>
      </c>
      <c r="D266" t="s">
        <v>192</v>
      </c>
      <c r="E266" t="s">
        <v>193</v>
      </c>
      <c r="F266" t="s">
        <v>201</v>
      </c>
      <c r="G266" t="s">
        <v>212</v>
      </c>
      <c r="H266" t="s">
        <v>196</v>
      </c>
      <c r="I266" t="s">
        <v>197</v>
      </c>
      <c r="J266" t="s">
        <v>203</v>
      </c>
      <c r="K266">
        <v>2297</v>
      </c>
      <c r="L266" s="36">
        <v>43829</v>
      </c>
      <c r="M266">
        <v>50.38</v>
      </c>
      <c r="N266">
        <v>5.0999999999999996</v>
      </c>
      <c r="O266">
        <f t="shared" si="4"/>
        <v>55.480000000000004</v>
      </c>
    </row>
    <row r="267" spans="1:15" hidden="1">
      <c r="A267" t="s">
        <v>748</v>
      </c>
      <c r="B267" t="s">
        <v>749</v>
      </c>
      <c r="C267" t="s">
        <v>191</v>
      </c>
      <c r="D267" t="s">
        <v>192</v>
      </c>
      <c r="E267" t="s">
        <v>193</v>
      </c>
      <c r="F267" t="s">
        <v>201</v>
      </c>
      <c r="G267" t="s">
        <v>202</v>
      </c>
      <c r="H267" t="s">
        <v>196</v>
      </c>
      <c r="I267" t="s">
        <v>197</v>
      </c>
      <c r="J267" t="s">
        <v>206</v>
      </c>
      <c r="K267">
        <v>6748</v>
      </c>
      <c r="L267" s="36">
        <v>43908</v>
      </c>
      <c r="M267">
        <v>0.08</v>
      </c>
      <c r="N267">
        <v>4.96</v>
      </c>
      <c r="O267">
        <f t="shared" si="4"/>
        <v>5.04</v>
      </c>
    </row>
    <row r="268" spans="1:15" hidden="1">
      <c r="A268" t="s">
        <v>750</v>
      </c>
      <c r="B268" t="s">
        <v>751</v>
      </c>
      <c r="C268" t="s">
        <v>232</v>
      </c>
      <c r="D268" t="s">
        <v>192</v>
      </c>
      <c r="E268" t="s">
        <v>193</v>
      </c>
      <c r="F268" t="s">
        <v>194</v>
      </c>
      <c r="G268" t="s">
        <v>326</v>
      </c>
      <c r="H268" t="s">
        <v>196</v>
      </c>
      <c r="I268" t="s">
        <v>197</v>
      </c>
      <c r="J268" t="s">
        <v>326</v>
      </c>
      <c r="K268">
        <v>9</v>
      </c>
      <c r="L268" s="36">
        <v>43903</v>
      </c>
      <c r="M268">
        <v>222.92</v>
      </c>
      <c r="N268">
        <v>7.91</v>
      </c>
      <c r="O268">
        <f t="shared" si="4"/>
        <v>230.82999999999998</v>
      </c>
    </row>
    <row r="269" spans="1:15" hidden="1">
      <c r="A269" t="s">
        <v>752</v>
      </c>
      <c r="B269" t="s">
        <v>753</v>
      </c>
      <c r="C269" t="s">
        <v>191</v>
      </c>
      <c r="D269" t="s">
        <v>192</v>
      </c>
      <c r="E269" t="s">
        <v>193</v>
      </c>
      <c r="F269" t="s">
        <v>201</v>
      </c>
      <c r="G269" t="s">
        <v>202</v>
      </c>
      <c r="H269" t="s">
        <v>196</v>
      </c>
      <c r="I269" t="s">
        <v>197</v>
      </c>
      <c r="J269" t="s">
        <v>206</v>
      </c>
      <c r="K269">
        <v>293</v>
      </c>
      <c r="L269" s="36">
        <v>43897</v>
      </c>
      <c r="M269">
        <v>29.49</v>
      </c>
      <c r="N269">
        <v>4.16</v>
      </c>
      <c r="O269">
        <f t="shared" si="4"/>
        <v>33.65</v>
      </c>
    </row>
    <row r="270" spans="1:15" hidden="1">
      <c r="A270" t="s">
        <v>754</v>
      </c>
      <c r="B270" t="s">
        <v>755</v>
      </c>
      <c r="C270" t="s">
        <v>191</v>
      </c>
      <c r="D270" t="s">
        <v>192</v>
      </c>
      <c r="E270" t="s">
        <v>193</v>
      </c>
      <c r="F270" t="s">
        <v>194</v>
      </c>
      <c r="G270" t="s">
        <v>536</v>
      </c>
      <c r="H270" t="s">
        <v>196</v>
      </c>
      <c r="I270" t="s">
        <v>197</v>
      </c>
      <c r="J270" t="s">
        <v>537</v>
      </c>
      <c r="K270">
        <v>260</v>
      </c>
      <c r="L270" s="36">
        <v>43897</v>
      </c>
      <c r="M270">
        <v>0.17</v>
      </c>
      <c r="N270">
        <v>1.23</v>
      </c>
      <c r="O270">
        <f t="shared" si="4"/>
        <v>1.4</v>
      </c>
    </row>
    <row r="271" spans="1:15" hidden="1">
      <c r="A271" t="s">
        <v>756</v>
      </c>
      <c r="B271" t="s">
        <v>757</v>
      </c>
      <c r="C271" t="s">
        <v>191</v>
      </c>
      <c r="D271" t="s">
        <v>192</v>
      </c>
      <c r="E271" t="s">
        <v>193</v>
      </c>
      <c r="F271" t="s">
        <v>201</v>
      </c>
      <c r="G271" t="s">
        <v>202</v>
      </c>
      <c r="H271" t="s">
        <v>196</v>
      </c>
      <c r="I271" t="s">
        <v>197</v>
      </c>
      <c r="J271" t="s">
        <v>206</v>
      </c>
      <c r="K271">
        <v>6566</v>
      </c>
      <c r="L271" s="36">
        <v>43854</v>
      </c>
      <c r="M271">
        <v>1.03</v>
      </c>
      <c r="N271">
        <v>10.28</v>
      </c>
      <c r="O271">
        <f t="shared" si="4"/>
        <v>11.309999999999999</v>
      </c>
    </row>
    <row r="272" spans="1:15" hidden="1">
      <c r="A272" t="s">
        <v>758</v>
      </c>
      <c r="B272" t="s">
        <v>759</v>
      </c>
      <c r="C272" t="s">
        <v>191</v>
      </c>
      <c r="D272" t="s">
        <v>192</v>
      </c>
      <c r="E272" t="s">
        <v>193</v>
      </c>
      <c r="F272" t="s">
        <v>201</v>
      </c>
      <c r="G272" t="s">
        <v>212</v>
      </c>
      <c r="H272" t="s">
        <v>196</v>
      </c>
      <c r="I272" t="s">
        <v>197</v>
      </c>
      <c r="J272" t="s">
        <v>203</v>
      </c>
      <c r="K272">
        <v>3411</v>
      </c>
      <c r="L272" s="36">
        <v>43829</v>
      </c>
      <c r="M272">
        <v>11.37</v>
      </c>
      <c r="N272">
        <v>2.2599999999999998</v>
      </c>
      <c r="O272">
        <f t="shared" si="4"/>
        <v>13.629999999999999</v>
      </c>
    </row>
    <row r="273" spans="1:15" hidden="1">
      <c r="A273" t="s">
        <v>760</v>
      </c>
      <c r="B273" t="s">
        <v>761</v>
      </c>
      <c r="C273" t="s">
        <v>191</v>
      </c>
      <c r="D273" t="s">
        <v>192</v>
      </c>
      <c r="E273" t="s">
        <v>193</v>
      </c>
      <c r="F273" t="s">
        <v>201</v>
      </c>
      <c r="G273" t="s">
        <v>212</v>
      </c>
      <c r="H273" t="s">
        <v>196</v>
      </c>
      <c r="I273" t="s">
        <v>197</v>
      </c>
      <c r="J273" t="s">
        <v>203</v>
      </c>
      <c r="K273">
        <v>335.61</v>
      </c>
      <c r="L273" s="36">
        <v>43815</v>
      </c>
      <c r="M273">
        <v>1.98</v>
      </c>
      <c r="N273">
        <v>4.13</v>
      </c>
      <c r="O273">
        <f t="shared" si="4"/>
        <v>6.1099999999999994</v>
      </c>
    </row>
    <row r="274" spans="1:15" hidden="1">
      <c r="A274" t="s">
        <v>762</v>
      </c>
      <c r="B274" t="s">
        <v>763</v>
      </c>
      <c r="C274" t="s">
        <v>191</v>
      </c>
      <c r="D274" t="s">
        <v>192</v>
      </c>
      <c r="E274" t="s">
        <v>193</v>
      </c>
      <c r="F274" t="s">
        <v>201</v>
      </c>
      <c r="G274" t="s">
        <v>233</v>
      </c>
      <c r="H274" t="s">
        <v>196</v>
      </c>
      <c r="I274" t="s">
        <v>197</v>
      </c>
      <c r="J274" t="s">
        <v>234</v>
      </c>
      <c r="K274">
        <v>19807</v>
      </c>
      <c r="L274" s="36">
        <v>43897</v>
      </c>
      <c r="M274">
        <v>13.89</v>
      </c>
      <c r="N274">
        <v>4.8499999999999996</v>
      </c>
      <c r="O274">
        <f t="shared" si="4"/>
        <v>18.740000000000002</v>
      </c>
    </row>
    <row r="275" spans="1:15" hidden="1">
      <c r="A275" t="s">
        <v>764</v>
      </c>
      <c r="B275" t="s">
        <v>765</v>
      </c>
      <c r="C275" t="s">
        <v>191</v>
      </c>
      <c r="D275" t="s">
        <v>192</v>
      </c>
      <c r="E275" t="s">
        <v>193</v>
      </c>
      <c r="F275" t="s">
        <v>201</v>
      </c>
      <c r="G275" t="s">
        <v>202</v>
      </c>
      <c r="H275" t="s">
        <v>196</v>
      </c>
      <c r="I275" t="s">
        <v>197</v>
      </c>
      <c r="J275" t="s">
        <v>206</v>
      </c>
      <c r="K275">
        <v>795</v>
      </c>
      <c r="L275" s="36">
        <v>43901</v>
      </c>
      <c r="M275">
        <v>3.36</v>
      </c>
      <c r="N275">
        <v>1.86</v>
      </c>
      <c r="O275">
        <f t="shared" si="4"/>
        <v>5.22</v>
      </c>
    </row>
    <row r="276" spans="1:15" hidden="1">
      <c r="A276" t="s">
        <v>766</v>
      </c>
      <c r="B276" t="s">
        <v>767</v>
      </c>
      <c r="C276" t="s">
        <v>191</v>
      </c>
      <c r="D276" t="s">
        <v>192</v>
      </c>
      <c r="E276" t="s">
        <v>193</v>
      </c>
      <c r="F276" t="s">
        <v>201</v>
      </c>
      <c r="G276" t="s">
        <v>202</v>
      </c>
      <c r="H276" t="s">
        <v>196</v>
      </c>
      <c r="I276" t="s">
        <v>197</v>
      </c>
      <c r="J276" t="s">
        <v>206</v>
      </c>
      <c r="K276">
        <v>195</v>
      </c>
      <c r="L276" s="36">
        <v>43904</v>
      </c>
      <c r="M276">
        <v>35.06</v>
      </c>
      <c r="N276">
        <v>2.02</v>
      </c>
      <c r="O276">
        <f t="shared" si="4"/>
        <v>37.080000000000005</v>
      </c>
    </row>
    <row r="277" spans="1:15" hidden="1">
      <c r="A277" t="s">
        <v>768</v>
      </c>
      <c r="B277" t="s">
        <v>769</v>
      </c>
      <c r="C277" t="s">
        <v>211</v>
      </c>
      <c r="D277" t="s">
        <v>192</v>
      </c>
      <c r="E277" t="s">
        <v>193</v>
      </c>
      <c r="F277" t="s">
        <v>201</v>
      </c>
      <c r="G277" t="s">
        <v>202</v>
      </c>
      <c r="H277" t="s">
        <v>196</v>
      </c>
      <c r="I277" t="s">
        <v>197</v>
      </c>
      <c r="J277" t="s">
        <v>213</v>
      </c>
      <c r="K277">
        <v>0</v>
      </c>
      <c r="L277" s="36">
        <v>43826</v>
      </c>
      <c r="M277">
        <v>0</v>
      </c>
      <c r="N277">
        <v>0</v>
      </c>
      <c r="O277">
        <f t="shared" si="4"/>
        <v>0</v>
      </c>
    </row>
    <row r="278" spans="1:15" hidden="1">
      <c r="A278" t="s">
        <v>770</v>
      </c>
      <c r="B278" t="s">
        <v>771</v>
      </c>
      <c r="C278" t="s">
        <v>191</v>
      </c>
      <c r="D278" t="s">
        <v>192</v>
      </c>
      <c r="E278" t="s">
        <v>193</v>
      </c>
      <c r="F278" t="s">
        <v>201</v>
      </c>
      <c r="G278" t="s">
        <v>202</v>
      </c>
      <c r="H278" t="s">
        <v>196</v>
      </c>
      <c r="I278" t="s">
        <v>197</v>
      </c>
      <c r="J278" t="s">
        <v>206</v>
      </c>
      <c r="K278">
        <v>273</v>
      </c>
      <c r="L278" s="36">
        <v>43904</v>
      </c>
      <c r="M278">
        <v>12.83</v>
      </c>
      <c r="N278">
        <v>4.88</v>
      </c>
      <c r="O278">
        <f t="shared" si="4"/>
        <v>17.71</v>
      </c>
    </row>
    <row r="279" spans="1:15" hidden="1">
      <c r="A279" t="s">
        <v>772</v>
      </c>
      <c r="B279" t="s">
        <v>773</v>
      </c>
      <c r="C279" t="s">
        <v>191</v>
      </c>
      <c r="D279" t="s">
        <v>192</v>
      </c>
      <c r="E279" t="s">
        <v>193</v>
      </c>
      <c r="F279" t="s">
        <v>201</v>
      </c>
      <c r="G279" t="s">
        <v>202</v>
      </c>
      <c r="H279" t="s">
        <v>196</v>
      </c>
      <c r="I279" t="s">
        <v>197</v>
      </c>
      <c r="J279" t="s">
        <v>206</v>
      </c>
      <c r="K279">
        <v>132</v>
      </c>
      <c r="L279" s="36">
        <v>43902</v>
      </c>
      <c r="M279">
        <v>1.8</v>
      </c>
      <c r="N279">
        <v>3.96</v>
      </c>
      <c r="O279">
        <f t="shared" si="4"/>
        <v>5.76</v>
      </c>
    </row>
    <row r="280" spans="1:15" hidden="1">
      <c r="A280" t="s">
        <v>774</v>
      </c>
      <c r="B280" t="s">
        <v>775</v>
      </c>
      <c r="C280" t="s">
        <v>191</v>
      </c>
      <c r="D280" t="s">
        <v>192</v>
      </c>
      <c r="E280" t="s">
        <v>193</v>
      </c>
      <c r="F280" t="s">
        <v>201</v>
      </c>
      <c r="G280" t="s">
        <v>233</v>
      </c>
      <c r="H280" t="s">
        <v>196</v>
      </c>
      <c r="I280" t="s">
        <v>197</v>
      </c>
      <c r="J280" t="s">
        <v>234</v>
      </c>
      <c r="K280">
        <v>26472.49</v>
      </c>
      <c r="L280" s="36">
        <v>43902</v>
      </c>
      <c r="M280">
        <v>2.69</v>
      </c>
      <c r="N280">
        <v>2.86</v>
      </c>
      <c r="O280">
        <f t="shared" si="4"/>
        <v>5.55</v>
      </c>
    </row>
    <row r="281" spans="1:15" hidden="1">
      <c r="A281" t="s">
        <v>774</v>
      </c>
      <c r="B281" t="s">
        <v>775</v>
      </c>
      <c r="C281" t="s">
        <v>191</v>
      </c>
      <c r="D281" t="s">
        <v>192</v>
      </c>
      <c r="E281" t="s">
        <v>193</v>
      </c>
      <c r="F281" t="s">
        <v>201</v>
      </c>
      <c r="G281" t="s">
        <v>233</v>
      </c>
      <c r="H281" t="s">
        <v>196</v>
      </c>
      <c r="I281" t="s">
        <v>197</v>
      </c>
      <c r="J281" t="s">
        <v>234</v>
      </c>
      <c r="K281">
        <v>26472.49</v>
      </c>
      <c r="L281" s="36">
        <v>43902</v>
      </c>
      <c r="M281">
        <v>2.69</v>
      </c>
      <c r="N281">
        <v>2.86</v>
      </c>
      <c r="O281">
        <f t="shared" si="4"/>
        <v>5.55</v>
      </c>
    </row>
    <row r="282" spans="1:15" hidden="1">
      <c r="A282" t="s">
        <v>776</v>
      </c>
      <c r="B282" t="s">
        <v>777</v>
      </c>
      <c r="C282" t="s">
        <v>191</v>
      </c>
      <c r="D282" t="s">
        <v>192</v>
      </c>
      <c r="E282" t="s">
        <v>193</v>
      </c>
      <c r="F282" t="s">
        <v>194</v>
      </c>
      <c r="G282" t="s">
        <v>725</v>
      </c>
      <c r="H282" t="s">
        <v>196</v>
      </c>
      <c r="I282" t="s">
        <v>197</v>
      </c>
      <c r="J282" t="s">
        <v>725</v>
      </c>
      <c r="K282">
        <v>30</v>
      </c>
      <c r="L282" s="36">
        <v>43892</v>
      </c>
      <c r="M282">
        <v>74.34</v>
      </c>
      <c r="N282">
        <v>0.9</v>
      </c>
      <c r="O282">
        <f t="shared" si="4"/>
        <v>75.240000000000009</v>
      </c>
    </row>
    <row r="283" spans="1:15" hidden="1">
      <c r="A283" t="s">
        <v>778</v>
      </c>
      <c r="B283" t="s">
        <v>779</v>
      </c>
      <c r="C283" t="s">
        <v>191</v>
      </c>
      <c r="D283" t="s">
        <v>192</v>
      </c>
      <c r="E283" t="s">
        <v>193</v>
      </c>
      <c r="F283" t="s">
        <v>201</v>
      </c>
      <c r="G283" t="s">
        <v>212</v>
      </c>
      <c r="H283" t="s">
        <v>196</v>
      </c>
      <c r="I283" t="s">
        <v>197</v>
      </c>
      <c r="J283" t="s">
        <v>203</v>
      </c>
      <c r="K283">
        <v>180.24</v>
      </c>
      <c r="L283" s="36">
        <v>43783</v>
      </c>
      <c r="M283">
        <v>4.6900000000000004</v>
      </c>
      <c r="N283">
        <v>1</v>
      </c>
      <c r="O283">
        <f t="shared" si="4"/>
        <v>5.69</v>
      </c>
    </row>
    <row r="284" spans="1:15" hidden="1">
      <c r="A284" t="s">
        <v>780</v>
      </c>
      <c r="B284" t="s">
        <v>781</v>
      </c>
      <c r="C284" t="s">
        <v>269</v>
      </c>
      <c r="D284" t="s">
        <v>192</v>
      </c>
      <c r="E284" t="s">
        <v>193</v>
      </c>
      <c r="F284" t="s">
        <v>201</v>
      </c>
      <c r="G284" t="s">
        <v>202</v>
      </c>
      <c r="H284" t="s">
        <v>196</v>
      </c>
      <c r="I284" t="s">
        <v>197</v>
      </c>
      <c r="J284" t="s">
        <v>206</v>
      </c>
      <c r="K284">
        <v>614</v>
      </c>
      <c r="L284" s="36">
        <v>43900</v>
      </c>
      <c r="M284">
        <v>75.97</v>
      </c>
      <c r="N284">
        <v>6.43</v>
      </c>
      <c r="O284">
        <f t="shared" si="4"/>
        <v>82.4</v>
      </c>
    </row>
    <row r="285" spans="1:15" hidden="1">
      <c r="A285" t="s">
        <v>782</v>
      </c>
      <c r="B285" t="s">
        <v>783</v>
      </c>
      <c r="C285" t="s">
        <v>211</v>
      </c>
      <c r="D285" t="s">
        <v>192</v>
      </c>
      <c r="E285" t="s">
        <v>193</v>
      </c>
      <c r="F285" t="s">
        <v>194</v>
      </c>
      <c r="G285" t="s">
        <v>300</v>
      </c>
      <c r="H285" t="s">
        <v>196</v>
      </c>
      <c r="I285" t="s">
        <v>197</v>
      </c>
      <c r="J285" t="s">
        <v>301</v>
      </c>
      <c r="K285">
        <v>0</v>
      </c>
      <c r="L285" s="36">
        <v>43874</v>
      </c>
      <c r="M285">
        <v>0</v>
      </c>
      <c r="N285">
        <v>0</v>
      </c>
      <c r="O285">
        <f t="shared" si="4"/>
        <v>0</v>
      </c>
    </row>
    <row r="286" spans="1:15" hidden="1">
      <c r="A286" t="s">
        <v>784</v>
      </c>
      <c r="B286" t="s">
        <v>785</v>
      </c>
      <c r="C286" t="s">
        <v>191</v>
      </c>
      <c r="D286" t="s">
        <v>192</v>
      </c>
      <c r="E286" t="s">
        <v>193</v>
      </c>
      <c r="F286" t="s">
        <v>201</v>
      </c>
      <c r="G286" t="s">
        <v>202</v>
      </c>
      <c r="H286" t="s">
        <v>196</v>
      </c>
      <c r="I286" t="s">
        <v>197</v>
      </c>
      <c r="J286" t="s">
        <v>206</v>
      </c>
      <c r="K286">
        <v>102</v>
      </c>
      <c r="L286" s="36">
        <v>43904</v>
      </c>
      <c r="M286">
        <v>5.38</v>
      </c>
      <c r="N286">
        <v>7.35</v>
      </c>
      <c r="O286">
        <f t="shared" si="4"/>
        <v>12.73</v>
      </c>
    </row>
    <row r="287" spans="1:15" hidden="1">
      <c r="A287" t="s">
        <v>786</v>
      </c>
      <c r="B287" t="s">
        <v>787</v>
      </c>
      <c r="C287" t="s">
        <v>191</v>
      </c>
      <c r="D287" t="s">
        <v>192</v>
      </c>
      <c r="E287" t="s">
        <v>193</v>
      </c>
      <c r="F287" t="s">
        <v>201</v>
      </c>
      <c r="G287" t="s">
        <v>202</v>
      </c>
      <c r="H287" t="s">
        <v>196</v>
      </c>
      <c r="I287" t="s">
        <v>197</v>
      </c>
      <c r="J287" t="s">
        <v>206</v>
      </c>
      <c r="K287">
        <v>133</v>
      </c>
      <c r="L287" s="36">
        <v>43897</v>
      </c>
      <c r="M287">
        <v>37.56</v>
      </c>
      <c r="N287">
        <v>6.85</v>
      </c>
      <c r="O287">
        <f t="shared" si="4"/>
        <v>44.410000000000004</v>
      </c>
    </row>
    <row r="288" spans="1:15" hidden="1">
      <c r="A288" t="s">
        <v>788</v>
      </c>
      <c r="B288" t="s">
        <v>789</v>
      </c>
      <c r="C288" t="s">
        <v>191</v>
      </c>
      <c r="D288" t="s">
        <v>192</v>
      </c>
      <c r="E288" t="s">
        <v>193</v>
      </c>
      <c r="F288" t="s">
        <v>194</v>
      </c>
      <c r="G288" t="s">
        <v>725</v>
      </c>
      <c r="H288" t="s">
        <v>196</v>
      </c>
      <c r="I288" t="s">
        <v>197</v>
      </c>
      <c r="J288" t="s">
        <v>725</v>
      </c>
      <c r="K288">
        <v>20</v>
      </c>
      <c r="L288" s="36">
        <v>43899</v>
      </c>
      <c r="M288">
        <v>7.85</v>
      </c>
      <c r="N288">
        <v>1.39</v>
      </c>
      <c r="O288">
        <f t="shared" si="4"/>
        <v>9.24</v>
      </c>
    </row>
    <row r="289" spans="1:15" hidden="1">
      <c r="A289" t="s">
        <v>790</v>
      </c>
      <c r="B289" t="s">
        <v>791</v>
      </c>
      <c r="C289" t="s">
        <v>191</v>
      </c>
      <c r="D289" t="s">
        <v>192</v>
      </c>
      <c r="E289" t="s">
        <v>193</v>
      </c>
      <c r="F289" t="s">
        <v>201</v>
      </c>
      <c r="G289" t="s">
        <v>212</v>
      </c>
      <c r="H289" t="s">
        <v>196</v>
      </c>
      <c r="I289" t="s">
        <v>197</v>
      </c>
      <c r="J289" t="s">
        <v>203</v>
      </c>
      <c r="K289">
        <v>348</v>
      </c>
      <c r="L289" s="36">
        <v>43794</v>
      </c>
      <c r="M289">
        <v>13.7</v>
      </c>
      <c r="N289">
        <v>0.11</v>
      </c>
      <c r="O289">
        <f t="shared" si="4"/>
        <v>13.809999999999999</v>
      </c>
    </row>
    <row r="290" spans="1:15" hidden="1">
      <c r="A290" t="s">
        <v>792</v>
      </c>
      <c r="B290" t="s">
        <v>793</v>
      </c>
      <c r="C290" t="s">
        <v>191</v>
      </c>
      <c r="D290" t="s">
        <v>192</v>
      </c>
      <c r="E290" t="s">
        <v>193</v>
      </c>
      <c r="F290" t="s">
        <v>201</v>
      </c>
      <c r="G290" t="s">
        <v>212</v>
      </c>
      <c r="H290" t="s">
        <v>196</v>
      </c>
      <c r="I290" t="s">
        <v>197</v>
      </c>
      <c r="J290" t="s">
        <v>203</v>
      </c>
      <c r="K290">
        <v>899.9</v>
      </c>
      <c r="L290" s="36">
        <v>43747</v>
      </c>
      <c r="M290">
        <v>0.75</v>
      </c>
      <c r="N290">
        <v>6.66</v>
      </c>
      <c r="O290">
        <f t="shared" si="4"/>
        <v>7.41</v>
      </c>
    </row>
    <row r="291" spans="1:15" hidden="1">
      <c r="A291" t="s">
        <v>794</v>
      </c>
      <c r="B291" t="s">
        <v>795</v>
      </c>
      <c r="C291" t="s">
        <v>191</v>
      </c>
      <c r="D291" t="s">
        <v>192</v>
      </c>
      <c r="E291" t="s">
        <v>193</v>
      </c>
      <c r="F291" t="s">
        <v>201</v>
      </c>
      <c r="G291" t="s">
        <v>212</v>
      </c>
      <c r="H291" t="s">
        <v>196</v>
      </c>
      <c r="I291" t="s">
        <v>197</v>
      </c>
      <c r="J291" t="s">
        <v>203</v>
      </c>
      <c r="K291">
        <v>406</v>
      </c>
      <c r="L291" s="36">
        <v>43848</v>
      </c>
      <c r="M291">
        <v>3.88</v>
      </c>
      <c r="N291">
        <v>4.41</v>
      </c>
      <c r="O291">
        <f t="shared" si="4"/>
        <v>8.2899999999999991</v>
      </c>
    </row>
    <row r="292" spans="1:15" hidden="1">
      <c r="A292" t="s">
        <v>796</v>
      </c>
      <c r="B292" t="s">
        <v>797</v>
      </c>
      <c r="C292" t="s">
        <v>191</v>
      </c>
      <c r="D292" t="s">
        <v>192</v>
      </c>
      <c r="E292" t="s">
        <v>193</v>
      </c>
      <c r="F292" t="s">
        <v>201</v>
      </c>
      <c r="G292" t="s">
        <v>212</v>
      </c>
      <c r="H292" t="s">
        <v>196</v>
      </c>
      <c r="I292" t="s">
        <v>197</v>
      </c>
      <c r="J292" t="s">
        <v>203</v>
      </c>
      <c r="K292">
        <v>3446</v>
      </c>
      <c r="L292" s="36">
        <v>43789</v>
      </c>
      <c r="M292">
        <v>0.28000000000000003</v>
      </c>
      <c r="N292">
        <v>2.76</v>
      </c>
      <c r="O292">
        <f t="shared" si="4"/>
        <v>3.04</v>
      </c>
    </row>
    <row r="293" spans="1:15" hidden="1">
      <c r="A293" t="s">
        <v>798</v>
      </c>
      <c r="B293" t="s">
        <v>799</v>
      </c>
      <c r="C293" t="s">
        <v>191</v>
      </c>
      <c r="D293" t="s">
        <v>192</v>
      </c>
      <c r="E293" t="s">
        <v>193</v>
      </c>
      <c r="F293" t="s">
        <v>194</v>
      </c>
      <c r="G293" t="s">
        <v>306</v>
      </c>
      <c r="H293" t="s">
        <v>196</v>
      </c>
      <c r="I293" t="s">
        <v>197</v>
      </c>
      <c r="J293" t="s">
        <v>800</v>
      </c>
      <c r="K293">
        <v>10</v>
      </c>
      <c r="L293" s="36">
        <v>43841</v>
      </c>
      <c r="M293">
        <v>59.94</v>
      </c>
      <c r="N293">
        <v>0.06</v>
      </c>
      <c r="O293">
        <f t="shared" si="4"/>
        <v>60</v>
      </c>
    </row>
    <row r="294" spans="1:15" hidden="1">
      <c r="A294" t="s">
        <v>801</v>
      </c>
      <c r="B294" t="s">
        <v>802</v>
      </c>
      <c r="C294" t="s">
        <v>191</v>
      </c>
      <c r="D294" t="s">
        <v>192</v>
      </c>
      <c r="E294" t="s">
        <v>193</v>
      </c>
      <c r="F294" t="s">
        <v>201</v>
      </c>
      <c r="G294" t="s">
        <v>233</v>
      </c>
      <c r="H294" t="s">
        <v>196</v>
      </c>
      <c r="I294" t="s">
        <v>197</v>
      </c>
      <c r="J294" t="s">
        <v>234</v>
      </c>
      <c r="K294">
        <v>1829</v>
      </c>
      <c r="L294" s="36">
        <v>43854</v>
      </c>
      <c r="M294">
        <v>12.55</v>
      </c>
      <c r="N294">
        <v>0.9</v>
      </c>
      <c r="O294">
        <f t="shared" si="4"/>
        <v>13.450000000000001</v>
      </c>
    </row>
    <row r="295" spans="1:15" hidden="1">
      <c r="A295" t="s">
        <v>803</v>
      </c>
      <c r="B295" t="s">
        <v>804</v>
      </c>
      <c r="C295" t="s">
        <v>191</v>
      </c>
      <c r="D295" t="s">
        <v>192</v>
      </c>
      <c r="E295" t="s">
        <v>193</v>
      </c>
      <c r="F295" t="s">
        <v>201</v>
      </c>
      <c r="G295" t="s">
        <v>233</v>
      </c>
      <c r="H295" t="s">
        <v>196</v>
      </c>
      <c r="I295" t="s">
        <v>197</v>
      </c>
      <c r="J295" t="s">
        <v>234</v>
      </c>
      <c r="K295">
        <v>9302.75</v>
      </c>
      <c r="L295" s="36">
        <v>43901</v>
      </c>
      <c r="M295">
        <v>4.62</v>
      </c>
      <c r="N295">
        <v>3.86</v>
      </c>
      <c r="O295">
        <f t="shared" si="4"/>
        <v>8.48</v>
      </c>
    </row>
    <row r="296" spans="1:15" hidden="1">
      <c r="A296" t="s">
        <v>805</v>
      </c>
      <c r="B296" t="s">
        <v>806</v>
      </c>
      <c r="C296" t="s">
        <v>191</v>
      </c>
      <c r="D296" t="s">
        <v>192</v>
      </c>
      <c r="E296" t="s">
        <v>193</v>
      </c>
      <c r="F296" t="s">
        <v>194</v>
      </c>
      <c r="G296" t="s">
        <v>725</v>
      </c>
      <c r="H296" t="s">
        <v>196</v>
      </c>
      <c r="I296" t="s">
        <v>197</v>
      </c>
      <c r="J296" t="s">
        <v>725</v>
      </c>
      <c r="K296">
        <v>15</v>
      </c>
      <c r="L296" s="36">
        <v>43906</v>
      </c>
      <c r="M296">
        <v>4.6399999999999997</v>
      </c>
      <c r="N296">
        <v>1.47</v>
      </c>
      <c r="O296">
        <f t="shared" si="4"/>
        <v>6.1099999999999994</v>
      </c>
    </row>
    <row r="297" spans="1:15" hidden="1">
      <c r="A297" t="s">
        <v>807</v>
      </c>
      <c r="B297" t="s">
        <v>808</v>
      </c>
      <c r="C297" t="s">
        <v>191</v>
      </c>
      <c r="D297" t="s">
        <v>192</v>
      </c>
      <c r="E297" t="s">
        <v>193</v>
      </c>
      <c r="F297" t="s">
        <v>194</v>
      </c>
      <c r="G297" t="s">
        <v>378</v>
      </c>
      <c r="H297" t="s">
        <v>196</v>
      </c>
      <c r="I297" t="s">
        <v>197</v>
      </c>
      <c r="J297" t="s">
        <v>379</v>
      </c>
      <c r="K297">
        <v>8675</v>
      </c>
      <c r="L297" s="36">
        <v>43906</v>
      </c>
      <c r="M297">
        <v>18.7</v>
      </c>
      <c r="N297">
        <v>9.64</v>
      </c>
      <c r="O297">
        <f t="shared" si="4"/>
        <v>28.34</v>
      </c>
    </row>
    <row r="298" spans="1:15" hidden="1">
      <c r="A298" t="s">
        <v>809</v>
      </c>
      <c r="B298" t="s">
        <v>810</v>
      </c>
      <c r="C298" t="s">
        <v>191</v>
      </c>
      <c r="D298" t="s">
        <v>192</v>
      </c>
      <c r="E298" t="s">
        <v>193</v>
      </c>
      <c r="F298" t="s">
        <v>201</v>
      </c>
      <c r="G298" t="s">
        <v>202</v>
      </c>
      <c r="H298" t="s">
        <v>196</v>
      </c>
      <c r="I298" t="s">
        <v>197</v>
      </c>
      <c r="J298" t="s">
        <v>206</v>
      </c>
      <c r="K298">
        <v>126</v>
      </c>
      <c r="L298" s="36">
        <v>43901</v>
      </c>
      <c r="M298">
        <v>87.6</v>
      </c>
      <c r="N298">
        <v>4.74</v>
      </c>
      <c r="O298">
        <f t="shared" si="4"/>
        <v>92.339999999999989</v>
      </c>
    </row>
    <row r="299" spans="1:15" hidden="1">
      <c r="A299" t="s">
        <v>811</v>
      </c>
      <c r="B299" t="s">
        <v>812</v>
      </c>
      <c r="C299" t="s">
        <v>191</v>
      </c>
      <c r="D299" t="s">
        <v>192</v>
      </c>
      <c r="E299" t="s">
        <v>193</v>
      </c>
      <c r="F299" t="s">
        <v>201</v>
      </c>
      <c r="G299" t="s">
        <v>212</v>
      </c>
      <c r="H299" t="s">
        <v>196</v>
      </c>
      <c r="I299" t="s">
        <v>197</v>
      </c>
      <c r="J299" t="s">
        <v>203</v>
      </c>
      <c r="K299">
        <v>5696.4</v>
      </c>
      <c r="L299" s="36">
        <v>43789</v>
      </c>
      <c r="M299">
        <v>0.49</v>
      </c>
      <c r="N299">
        <v>4.87</v>
      </c>
      <c r="O299">
        <f t="shared" si="4"/>
        <v>5.36</v>
      </c>
    </row>
    <row r="300" spans="1:15" hidden="1">
      <c r="A300" t="s">
        <v>813</v>
      </c>
      <c r="B300" t="s">
        <v>814</v>
      </c>
      <c r="C300" t="s">
        <v>191</v>
      </c>
      <c r="D300" t="s">
        <v>192</v>
      </c>
      <c r="E300" t="s">
        <v>193</v>
      </c>
      <c r="F300" t="s">
        <v>201</v>
      </c>
      <c r="G300" t="s">
        <v>212</v>
      </c>
      <c r="H300" t="s">
        <v>196</v>
      </c>
      <c r="I300" t="s">
        <v>197</v>
      </c>
      <c r="J300" t="s">
        <v>203</v>
      </c>
      <c r="K300">
        <v>969.9</v>
      </c>
      <c r="L300" s="36">
        <v>43834</v>
      </c>
      <c r="M300">
        <v>32.01</v>
      </c>
      <c r="N300">
        <v>2.04</v>
      </c>
      <c r="O300">
        <f t="shared" si="4"/>
        <v>34.049999999999997</v>
      </c>
    </row>
    <row r="301" spans="1:15" hidden="1">
      <c r="A301" t="s">
        <v>815</v>
      </c>
      <c r="B301" t="s">
        <v>816</v>
      </c>
      <c r="C301" t="s">
        <v>191</v>
      </c>
      <c r="D301" t="s">
        <v>192</v>
      </c>
      <c r="E301" t="s">
        <v>193</v>
      </c>
      <c r="F301" t="s">
        <v>414</v>
      </c>
      <c r="G301" t="s">
        <v>415</v>
      </c>
      <c r="H301" t="s">
        <v>196</v>
      </c>
      <c r="I301" t="s">
        <v>197</v>
      </c>
      <c r="J301" t="s">
        <v>415</v>
      </c>
      <c r="K301">
        <v>0</v>
      </c>
      <c r="L301" s="36">
        <v>43908</v>
      </c>
      <c r="M301">
        <v>0</v>
      </c>
      <c r="N301">
        <v>0.1</v>
      </c>
      <c r="O301">
        <f t="shared" si="4"/>
        <v>0.1</v>
      </c>
    </row>
    <row r="302" spans="1:15" hidden="1">
      <c r="A302" t="s">
        <v>817</v>
      </c>
      <c r="B302" t="s">
        <v>818</v>
      </c>
      <c r="C302" t="s">
        <v>191</v>
      </c>
      <c r="D302" t="s">
        <v>192</v>
      </c>
      <c r="E302" t="s">
        <v>193</v>
      </c>
      <c r="F302" t="s">
        <v>194</v>
      </c>
      <c r="G302" t="s">
        <v>436</v>
      </c>
      <c r="H302" t="s">
        <v>196</v>
      </c>
      <c r="I302" t="s">
        <v>197</v>
      </c>
      <c r="J302" t="s">
        <v>436</v>
      </c>
      <c r="K302">
        <v>5</v>
      </c>
      <c r="L302" s="36">
        <v>43831</v>
      </c>
      <c r="M302">
        <v>12.75</v>
      </c>
      <c r="N302">
        <v>2.25</v>
      </c>
      <c r="O302">
        <f t="shared" si="4"/>
        <v>15</v>
      </c>
    </row>
    <row r="303" spans="1:15" hidden="1">
      <c r="A303" t="s">
        <v>819</v>
      </c>
      <c r="B303" t="s">
        <v>820</v>
      </c>
      <c r="C303" t="s">
        <v>191</v>
      </c>
      <c r="D303" t="s">
        <v>192</v>
      </c>
      <c r="E303" t="s">
        <v>193</v>
      </c>
      <c r="F303" t="s">
        <v>201</v>
      </c>
      <c r="G303" t="s">
        <v>212</v>
      </c>
      <c r="H303" t="s">
        <v>196</v>
      </c>
      <c r="I303" t="s">
        <v>197</v>
      </c>
      <c r="J303" t="s">
        <v>203</v>
      </c>
      <c r="K303">
        <v>4253.5</v>
      </c>
      <c r="L303" s="36">
        <v>43789</v>
      </c>
      <c r="M303">
        <v>2.4300000000000002</v>
      </c>
      <c r="N303">
        <v>3.93</v>
      </c>
      <c r="O303">
        <f t="shared" si="4"/>
        <v>6.36</v>
      </c>
    </row>
    <row r="304" spans="1:15" hidden="1">
      <c r="A304" t="s">
        <v>821</v>
      </c>
      <c r="B304" t="s">
        <v>822</v>
      </c>
      <c r="C304" t="s">
        <v>191</v>
      </c>
      <c r="D304" t="s">
        <v>192</v>
      </c>
      <c r="E304" t="s">
        <v>193</v>
      </c>
      <c r="F304" t="s">
        <v>201</v>
      </c>
      <c r="G304" t="s">
        <v>202</v>
      </c>
      <c r="H304" t="s">
        <v>196</v>
      </c>
      <c r="I304" t="s">
        <v>197</v>
      </c>
      <c r="J304" t="s">
        <v>206</v>
      </c>
      <c r="K304">
        <v>257</v>
      </c>
      <c r="L304" s="36">
        <v>43859</v>
      </c>
      <c r="M304">
        <v>39.71</v>
      </c>
      <c r="N304">
        <v>3.07</v>
      </c>
      <c r="O304">
        <f t="shared" si="4"/>
        <v>42.78</v>
      </c>
    </row>
    <row r="305" spans="1:15" hidden="1">
      <c r="A305" t="s">
        <v>823</v>
      </c>
      <c r="B305" t="s">
        <v>824</v>
      </c>
      <c r="C305" t="s">
        <v>191</v>
      </c>
      <c r="D305" t="s">
        <v>192</v>
      </c>
      <c r="E305" t="s">
        <v>193</v>
      </c>
      <c r="F305" t="s">
        <v>194</v>
      </c>
      <c r="G305" t="s">
        <v>800</v>
      </c>
      <c r="H305" t="s">
        <v>196</v>
      </c>
      <c r="I305" t="s">
        <v>197</v>
      </c>
      <c r="J305" t="s">
        <v>800</v>
      </c>
      <c r="K305">
        <v>3272.73</v>
      </c>
      <c r="L305" s="36">
        <v>43907</v>
      </c>
      <c r="M305">
        <v>22.09</v>
      </c>
      <c r="N305">
        <v>1.4</v>
      </c>
      <c r="O305">
        <f t="shared" si="4"/>
        <v>23.49</v>
      </c>
    </row>
    <row r="306" spans="1:15" hidden="1">
      <c r="A306" t="s">
        <v>825</v>
      </c>
      <c r="B306" t="s">
        <v>826</v>
      </c>
      <c r="C306" t="s">
        <v>191</v>
      </c>
      <c r="D306" t="s">
        <v>192</v>
      </c>
      <c r="E306" t="s">
        <v>193</v>
      </c>
      <c r="F306" t="s">
        <v>201</v>
      </c>
      <c r="G306" t="s">
        <v>212</v>
      </c>
      <c r="H306" t="s">
        <v>196</v>
      </c>
      <c r="I306" t="s">
        <v>197</v>
      </c>
      <c r="J306" t="s">
        <v>203</v>
      </c>
      <c r="K306">
        <v>1033</v>
      </c>
      <c r="L306" s="36">
        <v>43879</v>
      </c>
      <c r="M306">
        <v>1.97</v>
      </c>
      <c r="N306">
        <v>2.91</v>
      </c>
      <c r="O306">
        <f t="shared" si="4"/>
        <v>4.88</v>
      </c>
    </row>
    <row r="307" spans="1:15" hidden="1">
      <c r="A307" t="s">
        <v>827</v>
      </c>
      <c r="B307" t="s">
        <v>828</v>
      </c>
      <c r="C307" t="s">
        <v>211</v>
      </c>
      <c r="D307" t="s">
        <v>192</v>
      </c>
      <c r="E307" t="s">
        <v>193</v>
      </c>
      <c r="F307" t="s">
        <v>201</v>
      </c>
      <c r="G307" t="s">
        <v>202</v>
      </c>
      <c r="H307" t="s">
        <v>196</v>
      </c>
      <c r="I307" t="s">
        <v>197</v>
      </c>
      <c r="J307" t="s">
        <v>213</v>
      </c>
      <c r="K307">
        <v>0</v>
      </c>
      <c r="L307" s="36">
        <v>43826</v>
      </c>
      <c r="M307">
        <v>0</v>
      </c>
      <c r="N307">
        <v>0</v>
      </c>
      <c r="O307">
        <f t="shared" si="4"/>
        <v>0</v>
      </c>
    </row>
    <row r="308" spans="1:15" hidden="1">
      <c r="A308" t="s">
        <v>829</v>
      </c>
      <c r="B308" t="s">
        <v>830</v>
      </c>
      <c r="C308" t="s">
        <v>269</v>
      </c>
      <c r="D308" t="s">
        <v>192</v>
      </c>
      <c r="E308" t="s">
        <v>193</v>
      </c>
      <c r="F308" t="s">
        <v>201</v>
      </c>
      <c r="G308" t="s">
        <v>202</v>
      </c>
      <c r="H308" t="s">
        <v>196</v>
      </c>
      <c r="I308" t="s">
        <v>197</v>
      </c>
      <c r="J308" t="s">
        <v>206</v>
      </c>
      <c r="K308">
        <v>100</v>
      </c>
      <c r="L308" s="36">
        <v>43876</v>
      </c>
      <c r="M308">
        <v>50.28</v>
      </c>
      <c r="N308">
        <v>6.47</v>
      </c>
      <c r="O308">
        <f t="shared" si="4"/>
        <v>56.75</v>
      </c>
    </row>
    <row r="309" spans="1:15" hidden="1">
      <c r="A309" t="s">
        <v>831</v>
      </c>
      <c r="B309" t="s">
        <v>832</v>
      </c>
      <c r="C309" t="s">
        <v>191</v>
      </c>
      <c r="D309" t="s">
        <v>192</v>
      </c>
      <c r="E309" t="s">
        <v>193</v>
      </c>
      <c r="F309" t="s">
        <v>201</v>
      </c>
      <c r="G309" t="s">
        <v>202</v>
      </c>
      <c r="H309" t="s">
        <v>196</v>
      </c>
      <c r="I309" t="s">
        <v>197</v>
      </c>
      <c r="J309" t="s">
        <v>206</v>
      </c>
      <c r="K309">
        <v>121</v>
      </c>
      <c r="L309" s="36">
        <v>43905</v>
      </c>
      <c r="M309">
        <v>22.24</v>
      </c>
      <c r="N309">
        <v>6.06</v>
      </c>
      <c r="O309">
        <f t="shared" si="4"/>
        <v>28.299999999999997</v>
      </c>
    </row>
    <row r="310" spans="1:15" hidden="1">
      <c r="A310" t="s">
        <v>833</v>
      </c>
      <c r="B310" t="s">
        <v>834</v>
      </c>
      <c r="C310" t="s">
        <v>191</v>
      </c>
      <c r="D310" t="s">
        <v>192</v>
      </c>
      <c r="E310" t="s">
        <v>193</v>
      </c>
      <c r="F310" t="s">
        <v>201</v>
      </c>
      <c r="G310" t="s">
        <v>212</v>
      </c>
      <c r="H310" t="s">
        <v>196</v>
      </c>
      <c r="I310" t="s">
        <v>197</v>
      </c>
      <c r="J310" t="s">
        <v>203</v>
      </c>
      <c r="K310">
        <v>3971</v>
      </c>
      <c r="L310" s="36">
        <v>43789</v>
      </c>
      <c r="M310">
        <v>1.94</v>
      </c>
      <c r="N310">
        <v>2.2000000000000002</v>
      </c>
      <c r="O310">
        <f t="shared" si="4"/>
        <v>4.1400000000000006</v>
      </c>
    </row>
    <row r="311" spans="1:15" hidden="1">
      <c r="A311" t="s">
        <v>835</v>
      </c>
      <c r="B311" t="s">
        <v>836</v>
      </c>
      <c r="C311" t="s">
        <v>191</v>
      </c>
      <c r="D311" t="s">
        <v>192</v>
      </c>
      <c r="E311" t="s">
        <v>193</v>
      </c>
      <c r="F311" t="s">
        <v>201</v>
      </c>
      <c r="G311" t="s">
        <v>202</v>
      </c>
      <c r="H311" t="s">
        <v>196</v>
      </c>
      <c r="I311" t="s">
        <v>197</v>
      </c>
      <c r="J311" t="s">
        <v>206</v>
      </c>
      <c r="K311">
        <v>197</v>
      </c>
      <c r="L311" s="36">
        <v>43901</v>
      </c>
      <c r="M311">
        <v>9.31</v>
      </c>
      <c r="N311">
        <v>7.51</v>
      </c>
      <c r="O311">
        <f t="shared" si="4"/>
        <v>16.82</v>
      </c>
    </row>
    <row r="312" spans="1:15" hidden="1">
      <c r="A312" t="s">
        <v>837</v>
      </c>
      <c r="B312" t="s">
        <v>838</v>
      </c>
      <c r="C312" t="s">
        <v>191</v>
      </c>
      <c r="D312" t="s">
        <v>192</v>
      </c>
      <c r="E312" t="s">
        <v>193</v>
      </c>
      <c r="F312" t="s">
        <v>201</v>
      </c>
      <c r="G312" t="s">
        <v>212</v>
      </c>
      <c r="H312" t="s">
        <v>196</v>
      </c>
      <c r="I312" t="s">
        <v>197</v>
      </c>
      <c r="J312" t="s">
        <v>203</v>
      </c>
      <c r="K312">
        <v>16629.400000000001</v>
      </c>
      <c r="L312" s="36">
        <v>43848</v>
      </c>
      <c r="M312">
        <v>2.92</v>
      </c>
      <c r="N312">
        <v>3.99</v>
      </c>
      <c r="O312">
        <f t="shared" si="4"/>
        <v>6.91</v>
      </c>
    </row>
    <row r="313" spans="1:15" hidden="1">
      <c r="A313" t="s">
        <v>839</v>
      </c>
      <c r="B313" t="s">
        <v>840</v>
      </c>
      <c r="C313" t="s">
        <v>191</v>
      </c>
      <c r="D313" t="s">
        <v>192</v>
      </c>
      <c r="E313" t="s">
        <v>193</v>
      </c>
      <c r="F313" t="s">
        <v>201</v>
      </c>
      <c r="G313" t="s">
        <v>202</v>
      </c>
      <c r="H313" t="s">
        <v>196</v>
      </c>
      <c r="I313" t="s">
        <v>197</v>
      </c>
      <c r="J313" t="s">
        <v>206</v>
      </c>
      <c r="K313">
        <v>100.29</v>
      </c>
      <c r="L313" s="36">
        <v>43889</v>
      </c>
      <c r="M313">
        <v>7.84</v>
      </c>
      <c r="N313">
        <v>1.24</v>
      </c>
      <c r="O313">
        <f t="shared" si="4"/>
        <v>9.08</v>
      </c>
    </row>
    <row r="314" spans="1:15" hidden="1">
      <c r="A314" t="s">
        <v>841</v>
      </c>
      <c r="B314" t="s">
        <v>842</v>
      </c>
      <c r="C314" t="s">
        <v>191</v>
      </c>
      <c r="D314" t="s">
        <v>192</v>
      </c>
      <c r="E314" t="s">
        <v>193</v>
      </c>
      <c r="F314" t="s">
        <v>414</v>
      </c>
      <c r="G314" t="s">
        <v>415</v>
      </c>
      <c r="H314" t="s">
        <v>196</v>
      </c>
      <c r="I314" t="s">
        <v>197</v>
      </c>
      <c r="J314" t="s">
        <v>415</v>
      </c>
      <c r="K314">
        <v>0</v>
      </c>
      <c r="L314" s="36">
        <v>43908</v>
      </c>
      <c r="M314">
        <v>0.09</v>
      </c>
      <c r="N314">
        <v>0.01</v>
      </c>
      <c r="O314">
        <f t="shared" si="4"/>
        <v>9.9999999999999992E-2</v>
      </c>
    </row>
    <row r="315" spans="1:15" hidden="1">
      <c r="A315" t="s">
        <v>843</v>
      </c>
      <c r="B315" t="s">
        <v>844</v>
      </c>
      <c r="C315" t="s">
        <v>191</v>
      </c>
      <c r="D315" t="s">
        <v>192</v>
      </c>
      <c r="E315" t="s">
        <v>193</v>
      </c>
      <c r="F315" t="s">
        <v>414</v>
      </c>
      <c r="G315" t="s">
        <v>415</v>
      </c>
      <c r="H315" t="s">
        <v>196</v>
      </c>
      <c r="I315" t="s">
        <v>197</v>
      </c>
      <c r="J315" t="s">
        <v>415</v>
      </c>
      <c r="K315">
        <v>52</v>
      </c>
      <c r="L315" s="36">
        <v>43849</v>
      </c>
      <c r="M315">
        <v>0</v>
      </c>
      <c r="N315">
        <v>0.57999999999999996</v>
      </c>
      <c r="O315">
        <f t="shared" si="4"/>
        <v>0.57999999999999996</v>
      </c>
    </row>
    <row r="316" spans="1:15" hidden="1">
      <c r="A316" t="s">
        <v>845</v>
      </c>
      <c r="B316" t="s">
        <v>846</v>
      </c>
      <c r="C316" t="s">
        <v>191</v>
      </c>
      <c r="D316" t="s">
        <v>192</v>
      </c>
      <c r="E316" t="s">
        <v>193</v>
      </c>
      <c r="F316" t="s">
        <v>414</v>
      </c>
      <c r="G316" t="s">
        <v>415</v>
      </c>
      <c r="H316" t="s">
        <v>196</v>
      </c>
      <c r="I316" t="s">
        <v>197</v>
      </c>
      <c r="J316" t="s">
        <v>415</v>
      </c>
      <c r="K316">
        <v>88</v>
      </c>
      <c r="L316" s="36">
        <v>43820</v>
      </c>
      <c r="M316">
        <v>0.51</v>
      </c>
      <c r="N316">
        <v>0.98</v>
      </c>
      <c r="O316">
        <f t="shared" si="4"/>
        <v>1.49</v>
      </c>
    </row>
    <row r="317" spans="1:15" hidden="1">
      <c r="A317" t="s">
        <v>847</v>
      </c>
      <c r="B317" t="s">
        <v>848</v>
      </c>
      <c r="C317" t="s">
        <v>191</v>
      </c>
      <c r="D317" t="s">
        <v>192</v>
      </c>
      <c r="E317" t="s">
        <v>193</v>
      </c>
      <c r="F317" t="s">
        <v>414</v>
      </c>
      <c r="G317" t="s">
        <v>415</v>
      </c>
      <c r="H317" t="s">
        <v>196</v>
      </c>
      <c r="I317" t="s">
        <v>197</v>
      </c>
      <c r="J317" t="s">
        <v>415</v>
      </c>
      <c r="K317">
        <v>0</v>
      </c>
      <c r="L317" s="36">
        <v>43908</v>
      </c>
      <c r="M317">
        <v>0.67</v>
      </c>
      <c r="N317">
        <v>0.33</v>
      </c>
      <c r="O317">
        <f t="shared" si="4"/>
        <v>1</v>
      </c>
    </row>
    <row r="318" spans="1:15" hidden="1">
      <c r="A318" t="s">
        <v>849</v>
      </c>
      <c r="B318" t="s">
        <v>850</v>
      </c>
      <c r="C318" t="s">
        <v>232</v>
      </c>
      <c r="D318" t="s">
        <v>192</v>
      </c>
      <c r="E318" t="s">
        <v>193</v>
      </c>
      <c r="F318" t="s">
        <v>201</v>
      </c>
      <c r="G318" t="s">
        <v>202</v>
      </c>
      <c r="H318" t="s">
        <v>196</v>
      </c>
      <c r="I318" t="s">
        <v>197</v>
      </c>
      <c r="J318" t="s">
        <v>206</v>
      </c>
      <c r="K318">
        <v>100</v>
      </c>
      <c r="L318" s="36">
        <v>43907</v>
      </c>
      <c r="M318">
        <v>2.4</v>
      </c>
      <c r="N318">
        <v>3.54</v>
      </c>
      <c r="O318">
        <f t="shared" si="4"/>
        <v>5.9399999999999995</v>
      </c>
    </row>
    <row r="319" spans="1:15" hidden="1">
      <c r="A319" t="s">
        <v>851</v>
      </c>
      <c r="B319" t="s">
        <v>852</v>
      </c>
      <c r="C319" t="s">
        <v>191</v>
      </c>
      <c r="D319" t="s">
        <v>192</v>
      </c>
      <c r="E319" t="s">
        <v>193</v>
      </c>
      <c r="F319" t="s">
        <v>201</v>
      </c>
      <c r="G319" t="s">
        <v>202</v>
      </c>
      <c r="H319" t="s">
        <v>196</v>
      </c>
      <c r="I319" t="s">
        <v>197</v>
      </c>
      <c r="J319" t="s">
        <v>206</v>
      </c>
      <c r="K319">
        <v>151</v>
      </c>
      <c r="L319" s="36">
        <v>43867</v>
      </c>
      <c r="M319">
        <v>18.579999999999998</v>
      </c>
      <c r="N319">
        <v>4.12</v>
      </c>
      <c r="O319">
        <f t="shared" si="4"/>
        <v>22.7</v>
      </c>
    </row>
    <row r="320" spans="1:15" hidden="1">
      <c r="A320" t="s">
        <v>853</v>
      </c>
      <c r="B320" t="s">
        <v>854</v>
      </c>
      <c r="C320" t="s">
        <v>191</v>
      </c>
      <c r="D320" t="s">
        <v>192</v>
      </c>
      <c r="E320" t="s">
        <v>193</v>
      </c>
      <c r="F320" t="s">
        <v>201</v>
      </c>
      <c r="G320" t="s">
        <v>202</v>
      </c>
      <c r="H320" t="s">
        <v>196</v>
      </c>
      <c r="I320" t="s">
        <v>197</v>
      </c>
      <c r="J320" t="s">
        <v>206</v>
      </c>
      <c r="K320">
        <v>38.799999999999997</v>
      </c>
      <c r="L320" s="36">
        <v>43907</v>
      </c>
      <c r="M320">
        <v>2.72</v>
      </c>
      <c r="N320">
        <v>5.23</v>
      </c>
      <c r="O320">
        <f t="shared" si="4"/>
        <v>7.9500000000000011</v>
      </c>
    </row>
    <row r="321" spans="1:15" hidden="1">
      <c r="A321" t="s">
        <v>855</v>
      </c>
      <c r="B321" t="s">
        <v>856</v>
      </c>
      <c r="C321" t="s">
        <v>191</v>
      </c>
      <c r="D321" t="s">
        <v>192</v>
      </c>
      <c r="E321" t="s">
        <v>193</v>
      </c>
      <c r="F321" t="s">
        <v>201</v>
      </c>
      <c r="G321" t="s">
        <v>233</v>
      </c>
      <c r="H321" t="s">
        <v>196</v>
      </c>
      <c r="I321" t="s">
        <v>197</v>
      </c>
      <c r="J321" t="s">
        <v>234</v>
      </c>
      <c r="K321">
        <v>421.32</v>
      </c>
      <c r="L321" s="36">
        <v>43836</v>
      </c>
      <c r="M321">
        <v>45.25</v>
      </c>
      <c r="N321">
        <v>1.86</v>
      </c>
      <c r="O321">
        <f t="shared" si="4"/>
        <v>47.11</v>
      </c>
    </row>
    <row r="322" spans="1:15" hidden="1">
      <c r="A322" t="s">
        <v>857</v>
      </c>
      <c r="B322" t="s">
        <v>858</v>
      </c>
      <c r="C322" t="s">
        <v>191</v>
      </c>
      <c r="D322" t="s">
        <v>192</v>
      </c>
      <c r="E322" t="s">
        <v>193</v>
      </c>
      <c r="F322" t="s">
        <v>201</v>
      </c>
      <c r="G322" t="s">
        <v>233</v>
      </c>
      <c r="H322" t="s">
        <v>196</v>
      </c>
      <c r="I322" t="s">
        <v>197</v>
      </c>
      <c r="J322" t="s">
        <v>234</v>
      </c>
      <c r="K322">
        <v>469.58</v>
      </c>
      <c r="L322" s="36">
        <v>43882</v>
      </c>
      <c r="M322">
        <v>21.79</v>
      </c>
      <c r="N322">
        <v>1.22</v>
      </c>
      <c r="O322">
        <f t="shared" si="4"/>
        <v>23.009999999999998</v>
      </c>
    </row>
    <row r="323" spans="1:15" hidden="1">
      <c r="A323" t="s">
        <v>859</v>
      </c>
      <c r="B323" t="s">
        <v>860</v>
      </c>
      <c r="C323" t="s">
        <v>269</v>
      </c>
      <c r="D323" t="s">
        <v>192</v>
      </c>
      <c r="E323" t="s">
        <v>193</v>
      </c>
      <c r="F323" t="s">
        <v>194</v>
      </c>
      <c r="G323" t="s">
        <v>369</v>
      </c>
      <c r="H323" t="s">
        <v>196</v>
      </c>
      <c r="I323" t="s">
        <v>197</v>
      </c>
      <c r="J323" t="s">
        <v>369</v>
      </c>
      <c r="K323">
        <v>234</v>
      </c>
      <c r="L323" s="36">
        <v>43893</v>
      </c>
      <c r="M323">
        <v>81.48</v>
      </c>
      <c r="N323">
        <v>2.5099999999999998</v>
      </c>
      <c r="O323">
        <f t="shared" ref="O323:O386" si="5">M323+N323</f>
        <v>83.990000000000009</v>
      </c>
    </row>
    <row r="324" spans="1:15" hidden="1">
      <c r="A324" t="s">
        <v>861</v>
      </c>
      <c r="B324" t="s">
        <v>862</v>
      </c>
      <c r="C324" t="s">
        <v>191</v>
      </c>
      <c r="D324" t="s">
        <v>192</v>
      </c>
      <c r="E324" t="s">
        <v>193</v>
      </c>
      <c r="F324" t="s">
        <v>201</v>
      </c>
      <c r="G324" t="s">
        <v>212</v>
      </c>
      <c r="H324" t="s">
        <v>196</v>
      </c>
      <c r="I324" t="s">
        <v>197</v>
      </c>
      <c r="J324" t="s">
        <v>203</v>
      </c>
      <c r="K324">
        <v>4255</v>
      </c>
      <c r="L324" s="36">
        <v>43759</v>
      </c>
      <c r="M324">
        <v>3.45</v>
      </c>
      <c r="N324">
        <v>2.09</v>
      </c>
      <c r="O324">
        <f t="shared" si="5"/>
        <v>5.54</v>
      </c>
    </row>
    <row r="325" spans="1:15" hidden="1">
      <c r="A325" t="s">
        <v>863</v>
      </c>
      <c r="B325" t="s">
        <v>864</v>
      </c>
      <c r="C325" t="s">
        <v>191</v>
      </c>
      <c r="D325" t="s">
        <v>192</v>
      </c>
      <c r="E325" t="s">
        <v>193</v>
      </c>
      <c r="F325" t="s">
        <v>194</v>
      </c>
      <c r="G325" t="s">
        <v>800</v>
      </c>
      <c r="H325" t="s">
        <v>196</v>
      </c>
      <c r="I325" t="s">
        <v>197</v>
      </c>
      <c r="J325" t="s">
        <v>800</v>
      </c>
      <c r="K325">
        <v>1500</v>
      </c>
      <c r="L325" s="36">
        <v>43895</v>
      </c>
      <c r="M325">
        <v>61.51</v>
      </c>
      <c r="N325">
        <v>9.35</v>
      </c>
      <c r="O325">
        <f t="shared" si="5"/>
        <v>70.86</v>
      </c>
    </row>
    <row r="326" spans="1:15" hidden="1">
      <c r="A326" t="s">
        <v>863</v>
      </c>
      <c r="B326" t="s">
        <v>864</v>
      </c>
      <c r="C326" t="s">
        <v>191</v>
      </c>
      <c r="D326" t="s">
        <v>192</v>
      </c>
      <c r="E326" t="s">
        <v>193</v>
      </c>
      <c r="F326" t="s">
        <v>194</v>
      </c>
      <c r="G326" t="s">
        <v>800</v>
      </c>
      <c r="H326" t="s">
        <v>196</v>
      </c>
      <c r="I326" t="s">
        <v>197</v>
      </c>
      <c r="J326" t="s">
        <v>800</v>
      </c>
      <c r="K326">
        <v>1500</v>
      </c>
      <c r="L326" s="36">
        <v>43895</v>
      </c>
      <c r="M326">
        <v>61.51</v>
      </c>
      <c r="N326">
        <v>9.35</v>
      </c>
      <c r="O326">
        <f t="shared" si="5"/>
        <v>70.86</v>
      </c>
    </row>
    <row r="327" spans="1:15" hidden="1">
      <c r="A327" t="s">
        <v>865</v>
      </c>
      <c r="B327" t="s">
        <v>866</v>
      </c>
      <c r="C327" t="s">
        <v>191</v>
      </c>
      <c r="D327" t="s">
        <v>192</v>
      </c>
      <c r="E327" t="s">
        <v>193</v>
      </c>
      <c r="F327" t="s">
        <v>414</v>
      </c>
      <c r="G327" t="s">
        <v>415</v>
      </c>
      <c r="H327" t="s">
        <v>196</v>
      </c>
      <c r="I327" t="s">
        <v>197</v>
      </c>
      <c r="J327" t="s">
        <v>415</v>
      </c>
      <c r="K327">
        <v>82</v>
      </c>
      <c r="L327" s="36">
        <v>43888</v>
      </c>
      <c r="M327">
        <v>0.04</v>
      </c>
      <c r="N327">
        <v>1</v>
      </c>
      <c r="O327">
        <f t="shared" si="5"/>
        <v>1.04</v>
      </c>
    </row>
    <row r="328" spans="1:15" hidden="1">
      <c r="A328" t="s">
        <v>867</v>
      </c>
      <c r="B328" t="s">
        <v>868</v>
      </c>
      <c r="C328" t="s">
        <v>191</v>
      </c>
      <c r="D328" t="s">
        <v>192</v>
      </c>
      <c r="E328" t="s">
        <v>193</v>
      </c>
      <c r="F328" t="s">
        <v>414</v>
      </c>
      <c r="G328" t="s">
        <v>415</v>
      </c>
      <c r="H328" t="s">
        <v>196</v>
      </c>
      <c r="I328" t="s">
        <v>197</v>
      </c>
      <c r="J328" t="s">
        <v>415</v>
      </c>
      <c r="K328">
        <v>123</v>
      </c>
      <c r="L328" s="36">
        <v>43888</v>
      </c>
      <c r="M328">
        <v>0.25</v>
      </c>
      <c r="N328">
        <v>1.52</v>
      </c>
      <c r="O328">
        <f t="shared" si="5"/>
        <v>1.77</v>
      </c>
    </row>
    <row r="329" spans="1:15" hidden="1">
      <c r="A329" t="s">
        <v>869</v>
      </c>
      <c r="B329" t="s">
        <v>870</v>
      </c>
      <c r="C329" t="s">
        <v>191</v>
      </c>
      <c r="D329" t="s">
        <v>192</v>
      </c>
      <c r="E329" t="s">
        <v>193</v>
      </c>
      <c r="F329" t="s">
        <v>414</v>
      </c>
      <c r="G329" t="s">
        <v>415</v>
      </c>
      <c r="H329" t="s">
        <v>196</v>
      </c>
      <c r="I329" t="s">
        <v>197</v>
      </c>
      <c r="J329" t="s">
        <v>415</v>
      </c>
      <c r="K329">
        <v>372</v>
      </c>
      <c r="L329" s="36">
        <v>43873</v>
      </c>
      <c r="M329">
        <v>0.24</v>
      </c>
      <c r="N329">
        <v>4.1100000000000003</v>
      </c>
      <c r="O329">
        <f t="shared" si="5"/>
        <v>4.3500000000000005</v>
      </c>
    </row>
    <row r="330" spans="1:15" hidden="1">
      <c r="A330" t="s">
        <v>871</v>
      </c>
      <c r="B330" t="s">
        <v>872</v>
      </c>
      <c r="C330" t="s">
        <v>191</v>
      </c>
      <c r="D330" t="s">
        <v>192</v>
      </c>
      <c r="E330" t="s">
        <v>193</v>
      </c>
      <c r="F330" t="s">
        <v>414</v>
      </c>
      <c r="G330" t="s">
        <v>415</v>
      </c>
      <c r="H330" t="s">
        <v>196</v>
      </c>
      <c r="I330" t="s">
        <v>197</v>
      </c>
      <c r="J330" t="s">
        <v>415</v>
      </c>
      <c r="K330">
        <v>67</v>
      </c>
      <c r="L330" s="36">
        <v>43888</v>
      </c>
      <c r="M330">
        <v>0</v>
      </c>
      <c r="N330">
        <v>0.89</v>
      </c>
      <c r="O330">
        <f t="shared" si="5"/>
        <v>0.89</v>
      </c>
    </row>
    <row r="331" spans="1:15" hidden="1">
      <c r="A331" t="s">
        <v>873</v>
      </c>
      <c r="B331" t="s">
        <v>874</v>
      </c>
      <c r="C331" t="s">
        <v>191</v>
      </c>
      <c r="D331" t="s">
        <v>192</v>
      </c>
      <c r="E331" t="s">
        <v>193</v>
      </c>
      <c r="F331" t="s">
        <v>201</v>
      </c>
      <c r="G331" t="s">
        <v>202</v>
      </c>
      <c r="H331" t="s">
        <v>196</v>
      </c>
      <c r="I331" t="s">
        <v>197</v>
      </c>
      <c r="J331" t="s">
        <v>206</v>
      </c>
      <c r="K331">
        <v>737.4</v>
      </c>
      <c r="L331" s="36">
        <v>43889</v>
      </c>
      <c r="M331">
        <v>9.2100000000000009</v>
      </c>
      <c r="N331">
        <v>21.28</v>
      </c>
      <c r="O331">
        <f t="shared" si="5"/>
        <v>30.490000000000002</v>
      </c>
    </row>
    <row r="332" spans="1:15" hidden="1">
      <c r="A332" t="s">
        <v>875</v>
      </c>
      <c r="B332" t="s">
        <v>876</v>
      </c>
      <c r="C332" t="s">
        <v>191</v>
      </c>
      <c r="D332" t="s">
        <v>192</v>
      </c>
      <c r="E332" t="s">
        <v>193</v>
      </c>
      <c r="F332" t="s">
        <v>414</v>
      </c>
      <c r="G332" t="s">
        <v>415</v>
      </c>
      <c r="H332" t="s">
        <v>196</v>
      </c>
      <c r="I332" t="s">
        <v>197</v>
      </c>
      <c r="J332" t="s">
        <v>415</v>
      </c>
      <c r="K332">
        <v>43</v>
      </c>
      <c r="L332" s="36">
        <v>43907</v>
      </c>
      <c r="M332">
        <v>0</v>
      </c>
      <c r="N332">
        <v>0.48</v>
      </c>
      <c r="O332">
        <f t="shared" si="5"/>
        <v>0.48</v>
      </c>
    </row>
    <row r="333" spans="1:15" hidden="1">
      <c r="A333" t="s">
        <v>877</v>
      </c>
      <c r="B333" t="s">
        <v>878</v>
      </c>
      <c r="C333" t="s">
        <v>191</v>
      </c>
      <c r="D333" t="s">
        <v>192</v>
      </c>
      <c r="E333" t="s">
        <v>193</v>
      </c>
      <c r="F333" t="s">
        <v>414</v>
      </c>
      <c r="G333" t="s">
        <v>415</v>
      </c>
      <c r="H333" t="s">
        <v>196</v>
      </c>
      <c r="I333" t="s">
        <v>197</v>
      </c>
      <c r="J333" t="s">
        <v>415</v>
      </c>
      <c r="K333">
        <v>113</v>
      </c>
      <c r="L333" s="36">
        <v>43849</v>
      </c>
      <c r="M333">
        <v>0.01</v>
      </c>
      <c r="N333">
        <v>1.25</v>
      </c>
      <c r="O333">
        <f t="shared" si="5"/>
        <v>1.26</v>
      </c>
    </row>
    <row r="334" spans="1:15" hidden="1">
      <c r="A334" t="s">
        <v>879</v>
      </c>
      <c r="B334" t="s">
        <v>880</v>
      </c>
      <c r="C334" t="s">
        <v>191</v>
      </c>
      <c r="D334" t="s">
        <v>192</v>
      </c>
      <c r="E334" t="s">
        <v>193</v>
      </c>
      <c r="F334" t="s">
        <v>414</v>
      </c>
      <c r="G334" t="s">
        <v>415</v>
      </c>
      <c r="H334" t="s">
        <v>196</v>
      </c>
      <c r="I334" t="s">
        <v>197</v>
      </c>
      <c r="J334" t="s">
        <v>415</v>
      </c>
      <c r="K334">
        <v>186</v>
      </c>
      <c r="L334" s="36">
        <v>43888</v>
      </c>
      <c r="M334">
        <v>0.02</v>
      </c>
      <c r="N334">
        <v>3.52</v>
      </c>
      <c r="O334">
        <f t="shared" si="5"/>
        <v>3.54</v>
      </c>
    </row>
    <row r="335" spans="1:15" hidden="1">
      <c r="A335" t="s">
        <v>881</v>
      </c>
      <c r="B335" t="s">
        <v>882</v>
      </c>
      <c r="C335" t="s">
        <v>191</v>
      </c>
      <c r="D335" t="s">
        <v>192</v>
      </c>
      <c r="E335" t="s">
        <v>193</v>
      </c>
      <c r="F335" t="s">
        <v>414</v>
      </c>
      <c r="G335" t="s">
        <v>415</v>
      </c>
      <c r="H335" t="s">
        <v>196</v>
      </c>
      <c r="I335" t="s">
        <v>197</v>
      </c>
      <c r="J335" t="s">
        <v>415</v>
      </c>
      <c r="K335">
        <v>210</v>
      </c>
      <c r="L335" s="36">
        <v>43908</v>
      </c>
      <c r="M335">
        <v>0.18</v>
      </c>
      <c r="N335">
        <v>2.34</v>
      </c>
      <c r="O335">
        <f t="shared" si="5"/>
        <v>2.52</v>
      </c>
    </row>
    <row r="336" spans="1:15" hidden="1">
      <c r="A336" t="s">
        <v>883</v>
      </c>
      <c r="B336" t="s">
        <v>884</v>
      </c>
      <c r="C336" t="s">
        <v>191</v>
      </c>
      <c r="D336" t="s">
        <v>192</v>
      </c>
      <c r="E336" t="s">
        <v>193</v>
      </c>
      <c r="F336" t="s">
        <v>194</v>
      </c>
      <c r="G336" t="s">
        <v>195</v>
      </c>
      <c r="H336" t="s">
        <v>196</v>
      </c>
      <c r="I336" t="s">
        <v>197</v>
      </c>
      <c r="J336" t="s">
        <v>198</v>
      </c>
      <c r="K336">
        <v>5</v>
      </c>
      <c r="L336" s="36">
        <v>43898</v>
      </c>
      <c r="M336">
        <v>0.74</v>
      </c>
      <c r="N336">
        <v>3.15</v>
      </c>
      <c r="O336">
        <f t="shared" si="5"/>
        <v>3.8899999999999997</v>
      </c>
    </row>
    <row r="337" spans="1:15" hidden="1">
      <c r="A337" t="s">
        <v>885</v>
      </c>
      <c r="B337" t="s">
        <v>886</v>
      </c>
      <c r="C337" t="s">
        <v>191</v>
      </c>
      <c r="D337" t="s">
        <v>192</v>
      </c>
      <c r="E337" t="s">
        <v>193</v>
      </c>
      <c r="F337" t="s">
        <v>194</v>
      </c>
      <c r="G337" t="s">
        <v>513</v>
      </c>
      <c r="H337" t="s">
        <v>196</v>
      </c>
      <c r="I337" t="s">
        <v>197</v>
      </c>
      <c r="J337" t="s">
        <v>513</v>
      </c>
      <c r="K337">
        <v>18725</v>
      </c>
      <c r="L337" s="36">
        <v>43896</v>
      </c>
      <c r="M337">
        <v>108.83</v>
      </c>
      <c r="N337">
        <v>14.67</v>
      </c>
      <c r="O337">
        <f t="shared" si="5"/>
        <v>123.5</v>
      </c>
    </row>
    <row r="338" spans="1:15" hidden="1">
      <c r="A338" t="s">
        <v>887</v>
      </c>
      <c r="B338" t="s">
        <v>888</v>
      </c>
      <c r="C338" t="s">
        <v>191</v>
      </c>
      <c r="D338" t="s">
        <v>192</v>
      </c>
      <c r="E338" t="s">
        <v>193</v>
      </c>
      <c r="F338" t="s">
        <v>414</v>
      </c>
      <c r="G338" t="s">
        <v>415</v>
      </c>
      <c r="H338" t="s">
        <v>196</v>
      </c>
      <c r="I338" t="s">
        <v>197</v>
      </c>
      <c r="J338" t="s">
        <v>415</v>
      </c>
      <c r="K338">
        <v>181</v>
      </c>
      <c r="L338" s="36">
        <v>43820</v>
      </c>
      <c r="M338">
        <v>0.33</v>
      </c>
      <c r="N338">
        <v>1.99</v>
      </c>
      <c r="O338">
        <f t="shared" si="5"/>
        <v>2.3199999999999998</v>
      </c>
    </row>
    <row r="339" spans="1:15" hidden="1">
      <c r="A339" t="s">
        <v>889</v>
      </c>
      <c r="B339" t="s">
        <v>890</v>
      </c>
      <c r="C339" t="s">
        <v>191</v>
      </c>
      <c r="D339" t="s">
        <v>192</v>
      </c>
      <c r="E339" t="s">
        <v>193</v>
      </c>
      <c r="F339" t="s">
        <v>414</v>
      </c>
      <c r="G339" t="s">
        <v>415</v>
      </c>
      <c r="H339" t="s">
        <v>196</v>
      </c>
      <c r="I339" t="s">
        <v>197</v>
      </c>
      <c r="J339" t="s">
        <v>415</v>
      </c>
      <c r="K339">
        <v>157</v>
      </c>
      <c r="L339" s="36">
        <v>43875</v>
      </c>
      <c r="M339">
        <v>0.06</v>
      </c>
      <c r="N339">
        <v>1.74</v>
      </c>
      <c r="O339">
        <f t="shared" si="5"/>
        <v>1.8</v>
      </c>
    </row>
    <row r="340" spans="1:15" hidden="1">
      <c r="A340" t="s">
        <v>891</v>
      </c>
      <c r="B340" t="s">
        <v>892</v>
      </c>
      <c r="C340" t="s">
        <v>191</v>
      </c>
      <c r="D340" t="s">
        <v>192</v>
      </c>
      <c r="E340" t="s">
        <v>193</v>
      </c>
      <c r="F340" t="s">
        <v>414</v>
      </c>
      <c r="G340" t="s">
        <v>415</v>
      </c>
      <c r="H340" t="s">
        <v>196</v>
      </c>
      <c r="I340" t="s">
        <v>197</v>
      </c>
      <c r="J340" t="s">
        <v>415</v>
      </c>
      <c r="K340">
        <v>177</v>
      </c>
      <c r="L340" s="36">
        <v>43908</v>
      </c>
      <c r="M340">
        <v>0.26</v>
      </c>
      <c r="N340">
        <v>1.97</v>
      </c>
      <c r="O340">
        <f t="shared" si="5"/>
        <v>2.23</v>
      </c>
    </row>
    <row r="341" spans="1:15" hidden="1">
      <c r="A341" t="s">
        <v>893</v>
      </c>
      <c r="B341" t="s">
        <v>894</v>
      </c>
      <c r="C341" t="s">
        <v>191</v>
      </c>
      <c r="D341" t="s">
        <v>192</v>
      </c>
      <c r="E341" t="s">
        <v>193</v>
      </c>
      <c r="F341" t="s">
        <v>414</v>
      </c>
      <c r="G341" t="s">
        <v>415</v>
      </c>
      <c r="H341" t="s">
        <v>196</v>
      </c>
      <c r="I341" t="s">
        <v>197</v>
      </c>
      <c r="J341" t="s">
        <v>415</v>
      </c>
      <c r="K341">
        <v>40</v>
      </c>
      <c r="L341" s="36">
        <v>43849</v>
      </c>
      <c r="M341">
        <v>0.14000000000000001</v>
      </c>
      <c r="N341">
        <v>0.45</v>
      </c>
      <c r="O341">
        <f t="shared" si="5"/>
        <v>0.59000000000000008</v>
      </c>
    </row>
    <row r="342" spans="1:15" hidden="1">
      <c r="A342" t="s">
        <v>895</v>
      </c>
      <c r="B342" t="s">
        <v>896</v>
      </c>
      <c r="C342" t="s">
        <v>211</v>
      </c>
      <c r="D342" t="s">
        <v>192</v>
      </c>
      <c r="E342" t="s">
        <v>193</v>
      </c>
      <c r="F342" t="s">
        <v>194</v>
      </c>
      <c r="G342" t="s">
        <v>326</v>
      </c>
      <c r="H342" t="s">
        <v>196</v>
      </c>
      <c r="I342" t="s">
        <v>197</v>
      </c>
      <c r="J342" t="s">
        <v>301</v>
      </c>
      <c r="K342">
        <v>0</v>
      </c>
      <c r="L342" s="36">
        <v>43874</v>
      </c>
      <c r="M342">
        <v>0</v>
      </c>
      <c r="N342">
        <v>0</v>
      </c>
      <c r="O342">
        <f t="shared" si="5"/>
        <v>0</v>
      </c>
    </row>
    <row r="343" spans="1:15" hidden="1">
      <c r="A343" t="s">
        <v>897</v>
      </c>
      <c r="B343" t="s">
        <v>898</v>
      </c>
      <c r="C343" t="s">
        <v>211</v>
      </c>
      <c r="D343" t="s">
        <v>192</v>
      </c>
      <c r="E343" t="s">
        <v>193</v>
      </c>
      <c r="F343" t="s">
        <v>194</v>
      </c>
      <c r="G343" t="s">
        <v>326</v>
      </c>
      <c r="H343" t="s">
        <v>196</v>
      </c>
      <c r="I343" t="s">
        <v>197</v>
      </c>
      <c r="J343" t="s">
        <v>301</v>
      </c>
      <c r="K343">
        <v>0</v>
      </c>
      <c r="L343" s="36">
        <v>43874</v>
      </c>
      <c r="M343">
        <v>0</v>
      </c>
      <c r="N343">
        <v>0</v>
      </c>
      <c r="O343">
        <f t="shared" si="5"/>
        <v>0</v>
      </c>
    </row>
    <row r="344" spans="1:15" hidden="1">
      <c r="A344" t="s">
        <v>899</v>
      </c>
      <c r="B344" t="s">
        <v>900</v>
      </c>
      <c r="C344" t="s">
        <v>191</v>
      </c>
      <c r="D344" t="s">
        <v>192</v>
      </c>
      <c r="E344" t="s">
        <v>193</v>
      </c>
      <c r="F344" t="s">
        <v>194</v>
      </c>
      <c r="G344" t="s">
        <v>800</v>
      </c>
      <c r="H344" t="s">
        <v>196</v>
      </c>
      <c r="I344" t="s">
        <v>197</v>
      </c>
      <c r="J344" t="s">
        <v>800</v>
      </c>
      <c r="K344">
        <v>200</v>
      </c>
      <c r="L344" s="36">
        <v>43862</v>
      </c>
      <c r="M344">
        <v>39.96</v>
      </c>
      <c r="N344">
        <v>0.04</v>
      </c>
      <c r="O344">
        <f t="shared" si="5"/>
        <v>40</v>
      </c>
    </row>
    <row r="345" spans="1:15" hidden="1">
      <c r="A345" t="s">
        <v>901</v>
      </c>
      <c r="B345" t="s">
        <v>902</v>
      </c>
      <c r="C345" t="s">
        <v>191</v>
      </c>
      <c r="D345" t="s">
        <v>192</v>
      </c>
      <c r="E345" t="s">
        <v>193</v>
      </c>
      <c r="F345" t="s">
        <v>201</v>
      </c>
      <c r="G345" t="s">
        <v>212</v>
      </c>
      <c r="H345" t="s">
        <v>196</v>
      </c>
      <c r="I345" t="s">
        <v>197</v>
      </c>
      <c r="J345" t="s">
        <v>203</v>
      </c>
      <c r="K345">
        <v>19076.900000000001</v>
      </c>
      <c r="L345" s="36">
        <v>43808</v>
      </c>
      <c r="M345">
        <v>0.6</v>
      </c>
      <c r="N345">
        <v>5.98</v>
      </c>
      <c r="O345">
        <f t="shared" si="5"/>
        <v>6.58</v>
      </c>
    </row>
    <row r="346" spans="1:15" hidden="1">
      <c r="A346" t="s">
        <v>903</v>
      </c>
      <c r="B346" t="s">
        <v>904</v>
      </c>
      <c r="C346" t="s">
        <v>269</v>
      </c>
      <c r="D346" t="s">
        <v>192</v>
      </c>
      <c r="E346" t="s">
        <v>193</v>
      </c>
      <c r="F346" t="s">
        <v>201</v>
      </c>
      <c r="G346" t="s">
        <v>202</v>
      </c>
      <c r="H346" t="s">
        <v>196</v>
      </c>
      <c r="I346" t="s">
        <v>197</v>
      </c>
      <c r="J346" t="s">
        <v>206</v>
      </c>
      <c r="K346">
        <v>465.5</v>
      </c>
      <c r="L346" s="36">
        <v>43892</v>
      </c>
      <c r="M346">
        <v>175.72</v>
      </c>
      <c r="N346">
        <v>0.17</v>
      </c>
      <c r="O346">
        <f t="shared" si="5"/>
        <v>175.89</v>
      </c>
    </row>
    <row r="347" spans="1:15" hidden="1">
      <c r="A347" t="s">
        <v>905</v>
      </c>
      <c r="B347" t="s">
        <v>906</v>
      </c>
      <c r="C347" t="s">
        <v>191</v>
      </c>
      <c r="D347" t="s">
        <v>192</v>
      </c>
      <c r="E347" t="s">
        <v>193</v>
      </c>
      <c r="F347" t="s">
        <v>194</v>
      </c>
      <c r="G347" t="s">
        <v>800</v>
      </c>
      <c r="H347" t="s">
        <v>196</v>
      </c>
      <c r="I347" t="s">
        <v>197</v>
      </c>
      <c r="J347" t="s">
        <v>800</v>
      </c>
      <c r="K347">
        <v>0</v>
      </c>
      <c r="L347" s="36">
        <v>43862</v>
      </c>
      <c r="M347">
        <v>2.21</v>
      </c>
      <c r="N347">
        <v>1.48</v>
      </c>
      <c r="O347">
        <f t="shared" si="5"/>
        <v>3.69</v>
      </c>
    </row>
    <row r="348" spans="1:15" hidden="1">
      <c r="A348" t="s">
        <v>907</v>
      </c>
      <c r="B348" t="s">
        <v>908</v>
      </c>
      <c r="C348" t="s">
        <v>191</v>
      </c>
      <c r="D348" t="s">
        <v>192</v>
      </c>
      <c r="E348" t="s">
        <v>193</v>
      </c>
      <c r="F348" t="s">
        <v>201</v>
      </c>
      <c r="G348" t="s">
        <v>202</v>
      </c>
      <c r="H348" t="s">
        <v>196</v>
      </c>
      <c r="I348" t="s">
        <v>197</v>
      </c>
      <c r="J348" t="s">
        <v>206</v>
      </c>
      <c r="K348">
        <v>582</v>
      </c>
      <c r="L348" s="36">
        <v>43899</v>
      </c>
      <c r="M348">
        <v>31.69</v>
      </c>
      <c r="N348">
        <v>6.73</v>
      </c>
      <c r="O348">
        <f t="shared" si="5"/>
        <v>38.42</v>
      </c>
    </row>
    <row r="349" spans="1:15" hidden="1">
      <c r="A349" t="s">
        <v>909</v>
      </c>
      <c r="B349" t="s">
        <v>910</v>
      </c>
      <c r="C349" t="s">
        <v>191</v>
      </c>
      <c r="D349" t="s">
        <v>192</v>
      </c>
      <c r="E349" t="s">
        <v>193</v>
      </c>
      <c r="F349" t="s">
        <v>414</v>
      </c>
      <c r="G349" t="s">
        <v>415</v>
      </c>
      <c r="H349" t="s">
        <v>196</v>
      </c>
      <c r="I349" t="s">
        <v>197</v>
      </c>
      <c r="J349" t="s">
        <v>415</v>
      </c>
      <c r="K349">
        <v>96</v>
      </c>
      <c r="L349" s="36">
        <v>43907</v>
      </c>
      <c r="M349">
        <v>0.01</v>
      </c>
      <c r="N349">
        <v>1.07</v>
      </c>
      <c r="O349">
        <f t="shared" si="5"/>
        <v>1.08</v>
      </c>
    </row>
    <row r="350" spans="1:15" hidden="1">
      <c r="A350" t="s">
        <v>911</v>
      </c>
      <c r="B350" t="s">
        <v>912</v>
      </c>
      <c r="C350" t="s">
        <v>191</v>
      </c>
      <c r="D350" t="s">
        <v>192</v>
      </c>
      <c r="E350" t="s">
        <v>193</v>
      </c>
      <c r="F350" t="s">
        <v>414</v>
      </c>
      <c r="G350" t="s">
        <v>415</v>
      </c>
      <c r="H350" t="s">
        <v>196</v>
      </c>
      <c r="I350" t="s">
        <v>197</v>
      </c>
      <c r="J350" t="s">
        <v>415</v>
      </c>
      <c r="K350">
        <v>247</v>
      </c>
      <c r="L350" s="36">
        <v>43907</v>
      </c>
      <c r="M350">
        <v>0.24</v>
      </c>
      <c r="N350">
        <v>2.74</v>
      </c>
      <c r="O350">
        <f t="shared" si="5"/>
        <v>2.9800000000000004</v>
      </c>
    </row>
    <row r="351" spans="1:15" hidden="1">
      <c r="A351" t="s">
        <v>913</v>
      </c>
      <c r="B351" t="s">
        <v>914</v>
      </c>
      <c r="C351" t="s">
        <v>191</v>
      </c>
      <c r="D351" t="s">
        <v>192</v>
      </c>
      <c r="E351" t="s">
        <v>193</v>
      </c>
      <c r="F351" t="s">
        <v>201</v>
      </c>
      <c r="G351" t="s">
        <v>202</v>
      </c>
      <c r="H351" t="s">
        <v>196</v>
      </c>
      <c r="I351" t="s">
        <v>197</v>
      </c>
      <c r="J351" t="s">
        <v>206</v>
      </c>
      <c r="K351">
        <v>148</v>
      </c>
      <c r="L351" s="36">
        <v>43907</v>
      </c>
      <c r="M351">
        <v>26.69</v>
      </c>
      <c r="N351">
        <v>3.67</v>
      </c>
      <c r="O351">
        <f t="shared" si="5"/>
        <v>30.36</v>
      </c>
    </row>
    <row r="352" spans="1:15" hidden="1">
      <c r="A352" t="s">
        <v>915</v>
      </c>
      <c r="B352" t="s">
        <v>916</v>
      </c>
      <c r="C352" t="s">
        <v>191</v>
      </c>
      <c r="D352" t="s">
        <v>192</v>
      </c>
      <c r="E352" t="s">
        <v>193</v>
      </c>
      <c r="F352" t="s">
        <v>414</v>
      </c>
      <c r="G352" t="s">
        <v>415</v>
      </c>
      <c r="H352" t="s">
        <v>196</v>
      </c>
      <c r="I352" t="s">
        <v>197</v>
      </c>
      <c r="J352" t="s">
        <v>415</v>
      </c>
      <c r="K352">
        <v>0</v>
      </c>
      <c r="L352" s="36">
        <v>43907</v>
      </c>
      <c r="M352">
        <v>19.28</v>
      </c>
      <c r="N352">
        <v>0.02</v>
      </c>
      <c r="O352">
        <f t="shared" si="5"/>
        <v>19.3</v>
      </c>
    </row>
    <row r="353" spans="1:15" hidden="1">
      <c r="A353" t="s">
        <v>917</v>
      </c>
      <c r="B353" t="s">
        <v>918</v>
      </c>
      <c r="C353" t="s">
        <v>269</v>
      </c>
      <c r="D353" t="s">
        <v>192</v>
      </c>
      <c r="E353" t="s">
        <v>193</v>
      </c>
      <c r="F353" t="s">
        <v>201</v>
      </c>
      <c r="G353" t="s">
        <v>202</v>
      </c>
      <c r="H353" t="s">
        <v>196</v>
      </c>
      <c r="I353" t="s">
        <v>197</v>
      </c>
      <c r="J353" t="s">
        <v>206</v>
      </c>
      <c r="K353">
        <v>100</v>
      </c>
      <c r="L353" s="36">
        <v>43867</v>
      </c>
      <c r="M353">
        <v>82.01</v>
      </c>
      <c r="N353">
        <v>4.5199999999999996</v>
      </c>
      <c r="O353">
        <f t="shared" si="5"/>
        <v>86.53</v>
      </c>
    </row>
    <row r="354" spans="1:15" hidden="1">
      <c r="A354" t="s">
        <v>919</v>
      </c>
      <c r="B354" t="s">
        <v>920</v>
      </c>
      <c r="C354" t="s">
        <v>191</v>
      </c>
      <c r="D354" t="s">
        <v>192</v>
      </c>
      <c r="E354" t="s">
        <v>193</v>
      </c>
      <c r="F354" t="s">
        <v>414</v>
      </c>
      <c r="G354" t="s">
        <v>415</v>
      </c>
      <c r="H354" t="s">
        <v>196</v>
      </c>
      <c r="I354" t="s">
        <v>197</v>
      </c>
      <c r="J354" t="s">
        <v>415</v>
      </c>
      <c r="K354">
        <v>40</v>
      </c>
      <c r="L354" s="36">
        <v>43875</v>
      </c>
      <c r="M354">
        <v>0.23</v>
      </c>
      <c r="N354">
        <v>0.45</v>
      </c>
      <c r="O354">
        <f t="shared" si="5"/>
        <v>0.68</v>
      </c>
    </row>
    <row r="355" spans="1:15" hidden="1">
      <c r="A355" t="s">
        <v>921</v>
      </c>
      <c r="B355" t="s">
        <v>922</v>
      </c>
      <c r="C355" t="s">
        <v>232</v>
      </c>
      <c r="D355" t="s">
        <v>192</v>
      </c>
      <c r="E355" t="s">
        <v>193</v>
      </c>
      <c r="F355" t="s">
        <v>201</v>
      </c>
      <c r="G355" t="s">
        <v>202</v>
      </c>
      <c r="H355" t="s">
        <v>196</v>
      </c>
      <c r="I355" t="s">
        <v>197</v>
      </c>
      <c r="J355" t="s">
        <v>206</v>
      </c>
      <c r="K355">
        <v>105.1</v>
      </c>
      <c r="L355" s="36">
        <v>43899</v>
      </c>
      <c r="M355">
        <v>9.01</v>
      </c>
      <c r="N355">
        <v>10.39</v>
      </c>
      <c r="O355">
        <f t="shared" si="5"/>
        <v>19.399999999999999</v>
      </c>
    </row>
    <row r="356" spans="1:15" hidden="1">
      <c r="A356" t="s">
        <v>923</v>
      </c>
      <c r="B356" t="s">
        <v>924</v>
      </c>
      <c r="C356" t="s">
        <v>191</v>
      </c>
      <c r="D356" t="s">
        <v>192</v>
      </c>
      <c r="E356" t="s">
        <v>193</v>
      </c>
      <c r="F356" t="s">
        <v>201</v>
      </c>
      <c r="G356" t="s">
        <v>202</v>
      </c>
      <c r="H356" t="s">
        <v>196</v>
      </c>
      <c r="I356" t="s">
        <v>197</v>
      </c>
      <c r="J356" t="s">
        <v>206</v>
      </c>
      <c r="K356">
        <v>100</v>
      </c>
      <c r="L356" s="36">
        <v>43867</v>
      </c>
      <c r="M356">
        <v>43.72</v>
      </c>
      <c r="N356">
        <v>7.07</v>
      </c>
      <c r="O356">
        <f t="shared" si="5"/>
        <v>50.79</v>
      </c>
    </row>
    <row r="357" spans="1:15" hidden="1">
      <c r="A357" t="s">
        <v>925</v>
      </c>
      <c r="B357" t="s">
        <v>926</v>
      </c>
      <c r="C357" t="s">
        <v>211</v>
      </c>
      <c r="D357" t="s">
        <v>192</v>
      </c>
      <c r="E357" t="s">
        <v>193</v>
      </c>
      <c r="F357" t="s">
        <v>201</v>
      </c>
      <c r="G357" t="s">
        <v>202</v>
      </c>
      <c r="H357" t="s">
        <v>196</v>
      </c>
      <c r="I357" t="s">
        <v>197</v>
      </c>
      <c r="J357" t="s">
        <v>213</v>
      </c>
      <c r="K357">
        <v>0</v>
      </c>
      <c r="L357" s="36">
        <v>43826</v>
      </c>
      <c r="M357">
        <v>0</v>
      </c>
      <c r="N357">
        <v>0</v>
      </c>
      <c r="O357">
        <f t="shared" si="5"/>
        <v>0</v>
      </c>
    </row>
    <row r="358" spans="1:15" hidden="1">
      <c r="A358" t="s">
        <v>927</v>
      </c>
      <c r="B358" t="s">
        <v>928</v>
      </c>
      <c r="C358" t="s">
        <v>191</v>
      </c>
      <c r="D358" t="s">
        <v>192</v>
      </c>
      <c r="E358" t="s">
        <v>193</v>
      </c>
      <c r="F358" t="s">
        <v>201</v>
      </c>
      <c r="G358" t="s">
        <v>202</v>
      </c>
      <c r="H358" t="s">
        <v>196</v>
      </c>
      <c r="I358" t="s">
        <v>197</v>
      </c>
      <c r="J358" t="s">
        <v>206</v>
      </c>
      <c r="K358">
        <v>100.16</v>
      </c>
      <c r="L358" s="36">
        <v>43899</v>
      </c>
      <c r="M358">
        <v>68.489999999999995</v>
      </c>
      <c r="N358">
        <v>7.01</v>
      </c>
      <c r="O358">
        <f t="shared" si="5"/>
        <v>75.5</v>
      </c>
    </row>
    <row r="359" spans="1:15" hidden="1">
      <c r="A359" t="s">
        <v>929</v>
      </c>
      <c r="B359" t="s">
        <v>930</v>
      </c>
      <c r="C359" t="s">
        <v>191</v>
      </c>
      <c r="D359" t="s">
        <v>192</v>
      </c>
      <c r="E359" t="s">
        <v>193</v>
      </c>
      <c r="F359" t="s">
        <v>201</v>
      </c>
      <c r="G359" t="s">
        <v>212</v>
      </c>
      <c r="H359" t="s">
        <v>196</v>
      </c>
      <c r="I359" t="s">
        <v>197</v>
      </c>
      <c r="J359" t="s">
        <v>203</v>
      </c>
      <c r="K359">
        <v>100</v>
      </c>
      <c r="L359" s="36">
        <v>43829</v>
      </c>
      <c r="M359">
        <v>20.88</v>
      </c>
      <c r="N359">
        <v>1.88</v>
      </c>
      <c r="O359">
        <f t="shared" si="5"/>
        <v>22.759999999999998</v>
      </c>
    </row>
    <row r="360" spans="1:15" hidden="1">
      <c r="A360" t="s">
        <v>931</v>
      </c>
      <c r="B360" t="s">
        <v>932</v>
      </c>
      <c r="C360" t="s">
        <v>191</v>
      </c>
      <c r="D360" t="s">
        <v>192</v>
      </c>
      <c r="E360" t="s">
        <v>193</v>
      </c>
      <c r="F360" t="s">
        <v>201</v>
      </c>
      <c r="G360" t="s">
        <v>202</v>
      </c>
      <c r="H360" t="s">
        <v>196</v>
      </c>
      <c r="I360" t="s">
        <v>197</v>
      </c>
      <c r="J360" t="s">
        <v>206</v>
      </c>
      <c r="K360">
        <v>12759</v>
      </c>
      <c r="L360" s="36">
        <v>43854</v>
      </c>
      <c r="M360">
        <v>1.02</v>
      </c>
      <c r="N360">
        <v>10.199999999999999</v>
      </c>
      <c r="O360">
        <f t="shared" si="5"/>
        <v>11.219999999999999</v>
      </c>
    </row>
    <row r="361" spans="1:15" hidden="1">
      <c r="A361" t="s">
        <v>933</v>
      </c>
      <c r="B361" t="s">
        <v>934</v>
      </c>
      <c r="C361" t="s">
        <v>191</v>
      </c>
      <c r="D361" t="s">
        <v>192</v>
      </c>
      <c r="E361" t="s">
        <v>193</v>
      </c>
      <c r="F361" t="s">
        <v>201</v>
      </c>
      <c r="G361" t="s">
        <v>212</v>
      </c>
      <c r="H361" t="s">
        <v>196</v>
      </c>
      <c r="I361" t="s">
        <v>197</v>
      </c>
      <c r="J361" t="s">
        <v>203</v>
      </c>
      <c r="K361">
        <v>177</v>
      </c>
      <c r="L361" s="36">
        <v>43825</v>
      </c>
      <c r="M361">
        <v>12.99</v>
      </c>
      <c r="N361">
        <v>4.83</v>
      </c>
      <c r="O361">
        <f t="shared" si="5"/>
        <v>17.82</v>
      </c>
    </row>
    <row r="362" spans="1:15" hidden="1">
      <c r="A362" t="s">
        <v>935</v>
      </c>
      <c r="B362" t="s">
        <v>936</v>
      </c>
      <c r="C362" t="s">
        <v>191</v>
      </c>
      <c r="D362" t="s">
        <v>192</v>
      </c>
      <c r="E362" t="s">
        <v>193</v>
      </c>
      <c r="F362" t="s">
        <v>201</v>
      </c>
      <c r="G362" t="s">
        <v>202</v>
      </c>
      <c r="H362" t="s">
        <v>196</v>
      </c>
      <c r="I362" t="s">
        <v>197</v>
      </c>
      <c r="J362" t="s">
        <v>206</v>
      </c>
      <c r="K362">
        <v>283</v>
      </c>
      <c r="L362" s="36">
        <v>43857</v>
      </c>
      <c r="M362">
        <v>0.75</v>
      </c>
      <c r="N362">
        <v>5.44</v>
      </c>
      <c r="O362">
        <f t="shared" si="5"/>
        <v>6.19</v>
      </c>
    </row>
    <row r="363" spans="1:15" hidden="1">
      <c r="A363" t="s">
        <v>937</v>
      </c>
      <c r="B363" t="s">
        <v>938</v>
      </c>
      <c r="C363" t="s">
        <v>191</v>
      </c>
      <c r="D363" t="s">
        <v>192</v>
      </c>
      <c r="E363" t="s">
        <v>193</v>
      </c>
      <c r="F363" t="s">
        <v>201</v>
      </c>
      <c r="G363" t="s">
        <v>202</v>
      </c>
      <c r="H363" t="s">
        <v>196</v>
      </c>
      <c r="I363" t="s">
        <v>197</v>
      </c>
      <c r="J363" t="s">
        <v>206</v>
      </c>
      <c r="K363">
        <v>110</v>
      </c>
      <c r="L363" s="36">
        <v>43904</v>
      </c>
      <c r="M363">
        <v>2.54</v>
      </c>
      <c r="N363">
        <v>0.46</v>
      </c>
      <c r="O363">
        <f t="shared" si="5"/>
        <v>3</v>
      </c>
    </row>
    <row r="364" spans="1:15" hidden="1">
      <c r="A364" t="s">
        <v>939</v>
      </c>
      <c r="B364" t="s">
        <v>940</v>
      </c>
      <c r="C364" t="s">
        <v>232</v>
      </c>
      <c r="D364" t="s">
        <v>192</v>
      </c>
      <c r="E364" t="s">
        <v>193</v>
      </c>
      <c r="F364" t="s">
        <v>414</v>
      </c>
      <c r="G364" t="s">
        <v>163</v>
      </c>
      <c r="H364" t="s">
        <v>196</v>
      </c>
      <c r="I364" t="s">
        <v>197</v>
      </c>
      <c r="J364" t="s">
        <v>941</v>
      </c>
      <c r="K364">
        <v>121.59</v>
      </c>
      <c r="L364" s="36">
        <v>43883</v>
      </c>
      <c r="M364">
        <v>0.05</v>
      </c>
      <c r="N364">
        <v>12.98</v>
      </c>
      <c r="O364">
        <f t="shared" si="5"/>
        <v>13.030000000000001</v>
      </c>
    </row>
    <row r="365" spans="1:15" hidden="1">
      <c r="A365" t="s">
        <v>942</v>
      </c>
      <c r="B365" t="s">
        <v>943</v>
      </c>
      <c r="C365" t="s">
        <v>191</v>
      </c>
      <c r="D365" t="s">
        <v>192</v>
      </c>
      <c r="E365" t="s">
        <v>193</v>
      </c>
      <c r="F365" t="s">
        <v>201</v>
      </c>
      <c r="G365" t="s">
        <v>202</v>
      </c>
      <c r="H365" t="s">
        <v>196</v>
      </c>
      <c r="I365" t="s">
        <v>197</v>
      </c>
      <c r="J365" t="s">
        <v>206</v>
      </c>
      <c r="K365">
        <v>1429</v>
      </c>
      <c r="L365" s="36">
        <v>43885</v>
      </c>
      <c r="M365">
        <v>3.66</v>
      </c>
      <c r="N365">
        <v>8.43</v>
      </c>
      <c r="O365">
        <f t="shared" si="5"/>
        <v>12.09</v>
      </c>
    </row>
    <row r="366" spans="1:15" hidden="1">
      <c r="A366" t="s">
        <v>944</v>
      </c>
      <c r="B366" t="s">
        <v>945</v>
      </c>
      <c r="C366" t="s">
        <v>191</v>
      </c>
      <c r="D366" t="s">
        <v>192</v>
      </c>
      <c r="E366" t="s">
        <v>193</v>
      </c>
      <c r="F366" t="s">
        <v>201</v>
      </c>
      <c r="G366" t="s">
        <v>212</v>
      </c>
      <c r="H366" t="s">
        <v>196</v>
      </c>
      <c r="I366" t="s">
        <v>197</v>
      </c>
      <c r="J366" t="s">
        <v>203</v>
      </c>
      <c r="K366">
        <v>1122</v>
      </c>
      <c r="L366" s="36">
        <v>43894</v>
      </c>
      <c r="M366">
        <v>5.9</v>
      </c>
      <c r="N366">
        <v>3.1</v>
      </c>
      <c r="O366">
        <f t="shared" si="5"/>
        <v>9</v>
      </c>
    </row>
    <row r="367" spans="1:15" hidden="1">
      <c r="A367" t="s">
        <v>946</v>
      </c>
      <c r="B367" t="s">
        <v>947</v>
      </c>
      <c r="C367" t="s">
        <v>191</v>
      </c>
      <c r="D367" t="s">
        <v>192</v>
      </c>
      <c r="E367" t="s">
        <v>193</v>
      </c>
      <c r="F367" t="s">
        <v>201</v>
      </c>
      <c r="G367" t="s">
        <v>212</v>
      </c>
      <c r="H367" t="s">
        <v>196</v>
      </c>
      <c r="I367" t="s">
        <v>197</v>
      </c>
      <c r="J367" t="s">
        <v>203</v>
      </c>
      <c r="K367">
        <v>5688</v>
      </c>
      <c r="L367" s="36">
        <v>43834</v>
      </c>
      <c r="M367">
        <v>1.76</v>
      </c>
      <c r="N367">
        <v>3.36</v>
      </c>
      <c r="O367">
        <f t="shared" si="5"/>
        <v>5.12</v>
      </c>
    </row>
    <row r="368" spans="1:15" hidden="1">
      <c r="A368" t="s">
        <v>948</v>
      </c>
      <c r="B368" t="s">
        <v>949</v>
      </c>
      <c r="C368" t="s">
        <v>232</v>
      </c>
      <c r="D368" t="s">
        <v>192</v>
      </c>
      <c r="E368" t="s">
        <v>193</v>
      </c>
      <c r="F368" t="s">
        <v>414</v>
      </c>
      <c r="G368" t="s">
        <v>163</v>
      </c>
      <c r="H368" t="s">
        <v>196</v>
      </c>
      <c r="I368" t="s">
        <v>197</v>
      </c>
      <c r="J368" t="s">
        <v>664</v>
      </c>
      <c r="K368">
        <v>10</v>
      </c>
      <c r="L368" s="36">
        <v>43883</v>
      </c>
      <c r="M368">
        <v>1.1200000000000001</v>
      </c>
      <c r="N368">
        <v>0.01</v>
      </c>
      <c r="O368">
        <f t="shared" si="5"/>
        <v>1.1300000000000001</v>
      </c>
    </row>
    <row r="369" spans="1:15" hidden="1">
      <c r="A369" t="s">
        <v>950</v>
      </c>
      <c r="B369" t="s">
        <v>951</v>
      </c>
      <c r="C369" t="s">
        <v>191</v>
      </c>
      <c r="D369" t="s">
        <v>192</v>
      </c>
      <c r="E369" t="s">
        <v>193</v>
      </c>
      <c r="F369" t="s">
        <v>201</v>
      </c>
      <c r="G369" t="s">
        <v>212</v>
      </c>
      <c r="H369" t="s">
        <v>196</v>
      </c>
      <c r="I369" t="s">
        <v>197</v>
      </c>
      <c r="J369" t="s">
        <v>203</v>
      </c>
      <c r="K369">
        <v>359</v>
      </c>
      <c r="L369" s="36">
        <v>43815</v>
      </c>
      <c r="M369">
        <v>0.7</v>
      </c>
      <c r="N369">
        <v>3.63</v>
      </c>
      <c r="O369">
        <f t="shared" si="5"/>
        <v>4.33</v>
      </c>
    </row>
    <row r="370" spans="1:15" hidden="1">
      <c r="A370" t="s">
        <v>952</v>
      </c>
      <c r="B370" t="s">
        <v>953</v>
      </c>
      <c r="C370" t="s">
        <v>191</v>
      </c>
      <c r="D370" t="s">
        <v>192</v>
      </c>
      <c r="E370" t="s">
        <v>193</v>
      </c>
      <c r="F370" t="s">
        <v>414</v>
      </c>
      <c r="G370" t="s">
        <v>415</v>
      </c>
      <c r="H370" t="s">
        <v>196</v>
      </c>
      <c r="I370" t="s">
        <v>197</v>
      </c>
      <c r="J370" t="s">
        <v>415</v>
      </c>
      <c r="K370">
        <v>15</v>
      </c>
      <c r="L370" s="36">
        <v>43889</v>
      </c>
      <c r="M370">
        <v>0.5</v>
      </c>
      <c r="N370">
        <v>0.31</v>
      </c>
      <c r="O370">
        <f t="shared" si="5"/>
        <v>0.81</v>
      </c>
    </row>
    <row r="371" spans="1:15" hidden="1">
      <c r="A371" t="s">
        <v>954</v>
      </c>
      <c r="B371" t="s">
        <v>955</v>
      </c>
      <c r="C371" t="s">
        <v>191</v>
      </c>
      <c r="D371" t="s">
        <v>192</v>
      </c>
      <c r="E371" t="s">
        <v>193</v>
      </c>
      <c r="F371" t="s">
        <v>201</v>
      </c>
      <c r="G371" t="s">
        <v>212</v>
      </c>
      <c r="H371" t="s">
        <v>196</v>
      </c>
      <c r="I371" t="s">
        <v>197</v>
      </c>
      <c r="J371" t="s">
        <v>203</v>
      </c>
      <c r="K371">
        <v>20224</v>
      </c>
      <c r="L371" s="36">
        <v>43838</v>
      </c>
      <c r="M371">
        <v>3.21</v>
      </c>
      <c r="N371">
        <v>4.04</v>
      </c>
      <c r="O371">
        <f t="shared" si="5"/>
        <v>7.25</v>
      </c>
    </row>
    <row r="372" spans="1:15" hidden="1">
      <c r="A372" t="s">
        <v>956</v>
      </c>
      <c r="B372" t="s">
        <v>957</v>
      </c>
      <c r="C372" t="s">
        <v>191</v>
      </c>
      <c r="D372" t="s">
        <v>192</v>
      </c>
      <c r="E372" t="s">
        <v>193</v>
      </c>
      <c r="F372" t="s">
        <v>414</v>
      </c>
      <c r="G372" t="s">
        <v>415</v>
      </c>
      <c r="H372" t="s">
        <v>196</v>
      </c>
      <c r="I372" t="s">
        <v>197</v>
      </c>
      <c r="J372" t="s">
        <v>415</v>
      </c>
      <c r="K372">
        <v>24</v>
      </c>
      <c r="L372" s="36">
        <v>43795</v>
      </c>
      <c r="M372">
        <v>5.0199999999999996</v>
      </c>
      <c r="N372">
        <v>0.26</v>
      </c>
      <c r="O372">
        <f t="shared" si="5"/>
        <v>5.2799999999999994</v>
      </c>
    </row>
    <row r="373" spans="1:15" hidden="1">
      <c r="A373" t="s">
        <v>958</v>
      </c>
      <c r="B373" t="s">
        <v>959</v>
      </c>
      <c r="C373" t="s">
        <v>191</v>
      </c>
      <c r="D373" t="s">
        <v>192</v>
      </c>
      <c r="E373" t="s">
        <v>193</v>
      </c>
      <c r="F373" t="s">
        <v>201</v>
      </c>
      <c r="G373" t="s">
        <v>212</v>
      </c>
      <c r="H373" t="s">
        <v>196</v>
      </c>
      <c r="I373" t="s">
        <v>197</v>
      </c>
      <c r="J373" t="s">
        <v>203</v>
      </c>
      <c r="K373">
        <v>701</v>
      </c>
      <c r="L373" s="36">
        <v>43889</v>
      </c>
      <c r="M373">
        <v>7.86</v>
      </c>
      <c r="N373">
        <v>2.91</v>
      </c>
      <c r="O373">
        <f t="shared" si="5"/>
        <v>10.77</v>
      </c>
    </row>
    <row r="374" spans="1:15" hidden="1">
      <c r="A374" t="s">
        <v>960</v>
      </c>
      <c r="B374" t="s">
        <v>961</v>
      </c>
      <c r="C374" t="s">
        <v>191</v>
      </c>
      <c r="D374" t="s">
        <v>192</v>
      </c>
      <c r="E374" t="s">
        <v>193</v>
      </c>
      <c r="F374" t="s">
        <v>201</v>
      </c>
      <c r="G374" t="s">
        <v>212</v>
      </c>
      <c r="H374" t="s">
        <v>196</v>
      </c>
      <c r="I374" t="s">
        <v>197</v>
      </c>
      <c r="J374" t="s">
        <v>203</v>
      </c>
      <c r="K374">
        <v>8870</v>
      </c>
      <c r="L374" s="36">
        <v>43815</v>
      </c>
      <c r="M374">
        <v>2.59</v>
      </c>
      <c r="N374">
        <v>3.24</v>
      </c>
      <c r="O374">
        <f t="shared" si="5"/>
        <v>5.83</v>
      </c>
    </row>
    <row r="375" spans="1:15" hidden="1">
      <c r="A375" t="s">
        <v>962</v>
      </c>
      <c r="B375" t="s">
        <v>963</v>
      </c>
      <c r="C375" t="s">
        <v>191</v>
      </c>
      <c r="D375" t="s">
        <v>192</v>
      </c>
      <c r="E375" t="s">
        <v>193</v>
      </c>
      <c r="F375" t="s">
        <v>201</v>
      </c>
      <c r="G375" t="s">
        <v>202</v>
      </c>
      <c r="H375" t="s">
        <v>196</v>
      </c>
      <c r="I375" t="s">
        <v>197</v>
      </c>
      <c r="J375" t="s">
        <v>206</v>
      </c>
      <c r="K375">
        <v>851</v>
      </c>
      <c r="L375" s="36">
        <v>43723</v>
      </c>
      <c r="M375">
        <v>2.5299999999999998</v>
      </c>
      <c r="N375">
        <v>6.52</v>
      </c>
      <c r="O375">
        <f t="shared" si="5"/>
        <v>9.0499999999999989</v>
      </c>
    </row>
    <row r="376" spans="1:15" hidden="1">
      <c r="A376" t="s">
        <v>964</v>
      </c>
      <c r="B376" t="s">
        <v>965</v>
      </c>
      <c r="C376" t="s">
        <v>191</v>
      </c>
      <c r="D376" t="s">
        <v>192</v>
      </c>
      <c r="E376" t="s">
        <v>193</v>
      </c>
      <c r="F376" t="s">
        <v>201</v>
      </c>
      <c r="G376" t="s">
        <v>212</v>
      </c>
      <c r="H376" t="s">
        <v>196</v>
      </c>
      <c r="I376" t="s">
        <v>197</v>
      </c>
      <c r="J376" t="s">
        <v>203</v>
      </c>
      <c r="K376">
        <v>6100</v>
      </c>
      <c r="L376" s="36">
        <v>43848</v>
      </c>
      <c r="M376">
        <v>10.199999999999999</v>
      </c>
      <c r="N376">
        <v>16.420000000000002</v>
      </c>
      <c r="O376">
        <f t="shared" si="5"/>
        <v>26.62</v>
      </c>
    </row>
    <row r="377" spans="1:15" hidden="1">
      <c r="A377" t="s">
        <v>966</v>
      </c>
      <c r="B377" t="s">
        <v>967</v>
      </c>
      <c r="C377" t="s">
        <v>191</v>
      </c>
      <c r="D377" t="s">
        <v>192</v>
      </c>
      <c r="E377" t="s">
        <v>193</v>
      </c>
      <c r="F377" t="s">
        <v>201</v>
      </c>
      <c r="G377" t="s">
        <v>202</v>
      </c>
      <c r="H377" t="s">
        <v>196</v>
      </c>
      <c r="I377" t="s">
        <v>197</v>
      </c>
      <c r="J377" t="s">
        <v>206</v>
      </c>
      <c r="K377">
        <v>2193.31</v>
      </c>
      <c r="L377" s="36">
        <v>43879</v>
      </c>
      <c r="M377">
        <v>4.76</v>
      </c>
      <c r="N377">
        <v>12.08</v>
      </c>
      <c r="O377">
        <f t="shared" si="5"/>
        <v>16.84</v>
      </c>
    </row>
    <row r="378" spans="1:15" hidden="1">
      <c r="A378" t="s">
        <v>968</v>
      </c>
      <c r="B378" t="s">
        <v>969</v>
      </c>
      <c r="C378" t="s">
        <v>232</v>
      </c>
      <c r="D378" t="s">
        <v>192</v>
      </c>
      <c r="E378" t="s">
        <v>193</v>
      </c>
      <c r="F378" t="s">
        <v>414</v>
      </c>
      <c r="G378" t="s">
        <v>163</v>
      </c>
      <c r="H378" t="s">
        <v>196</v>
      </c>
      <c r="I378" t="s">
        <v>197</v>
      </c>
      <c r="J378" t="s">
        <v>941</v>
      </c>
      <c r="K378">
        <v>0</v>
      </c>
      <c r="L378" s="36">
        <v>43883</v>
      </c>
      <c r="M378">
        <v>0.04</v>
      </c>
      <c r="N378">
        <v>9.44</v>
      </c>
      <c r="O378">
        <f t="shared" si="5"/>
        <v>9.4799999999999986</v>
      </c>
    </row>
    <row r="379" spans="1:15" hidden="1">
      <c r="A379" t="s">
        <v>970</v>
      </c>
      <c r="B379" t="s">
        <v>971</v>
      </c>
      <c r="C379" t="s">
        <v>232</v>
      </c>
      <c r="D379" t="s">
        <v>192</v>
      </c>
      <c r="E379" t="s">
        <v>193</v>
      </c>
      <c r="F379" t="s">
        <v>414</v>
      </c>
      <c r="G379" t="s">
        <v>163</v>
      </c>
      <c r="H379" t="s">
        <v>196</v>
      </c>
      <c r="I379" t="s">
        <v>197</v>
      </c>
      <c r="J379" t="s">
        <v>972</v>
      </c>
      <c r="K379">
        <v>43</v>
      </c>
      <c r="L379" s="36">
        <v>43828</v>
      </c>
      <c r="M379">
        <v>0.02</v>
      </c>
      <c r="N379">
        <v>4.45</v>
      </c>
      <c r="O379">
        <f t="shared" si="5"/>
        <v>4.47</v>
      </c>
    </row>
    <row r="380" spans="1:15" hidden="1">
      <c r="A380" t="s">
        <v>973</v>
      </c>
      <c r="B380" t="s">
        <v>974</v>
      </c>
      <c r="C380" t="s">
        <v>232</v>
      </c>
      <c r="D380" t="s">
        <v>192</v>
      </c>
      <c r="E380" t="s">
        <v>193</v>
      </c>
      <c r="F380" t="s">
        <v>414</v>
      </c>
      <c r="G380" t="s">
        <v>163</v>
      </c>
      <c r="H380" t="s">
        <v>196</v>
      </c>
      <c r="I380" t="s">
        <v>197</v>
      </c>
      <c r="J380" t="s">
        <v>972</v>
      </c>
      <c r="K380">
        <v>233</v>
      </c>
      <c r="L380" s="36">
        <v>43797</v>
      </c>
      <c r="M380">
        <v>0.02</v>
      </c>
      <c r="N380">
        <v>2.41</v>
      </c>
      <c r="O380">
        <f t="shared" si="5"/>
        <v>2.4300000000000002</v>
      </c>
    </row>
    <row r="381" spans="1:15" hidden="1">
      <c r="A381" t="s">
        <v>975</v>
      </c>
      <c r="B381" t="s">
        <v>976</v>
      </c>
      <c r="C381" t="s">
        <v>191</v>
      </c>
      <c r="D381" t="s">
        <v>192</v>
      </c>
      <c r="E381" t="s">
        <v>193</v>
      </c>
      <c r="F381" t="s">
        <v>414</v>
      </c>
      <c r="G381" t="s">
        <v>415</v>
      </c>
      <c r="H381" t="s">
        <v>196</v>
      </c>
      <c r="I381" t="s">
        <v>197</v>
      </c>
      <c r="J381" t="s">
        <v>415</v>
      </c>
      <c r="K381">
        <v>18</v>
      </c>
      <c r="L381" s="36">
        <v>43876</v>
      </c>
      <c r="M381">
        <v>4.55</v>
      </c>
      <c r="N381">
        <v>0.2</v>
      </c>
      <c r="O381">
        <f t="shared" si="5"/>
        <v>4.75</v>
      </c>
    </row>
    <row r="382" spans="1:15" hidden="1">
      <c r="A382" t="s">
        <v>977</v>
      </c>
      <c r="B382" t="s">
        <v>978</v>
      </c>
      <c r="C382" t="s">
        <v>191</v>
      </c>
      <c r="D382" t="s">
        <v>192</v>
      </c>
      <c r="E382" t="s">
        <v>193</v>
      </c>
      <c r="F382" t="s">
        <v>414</v>
      </c>
      <c r="G382" t="s">
        <v>415</v>
      </c>
      <c r="H382" t="s">
        <v>196</v>
      </c>
      <c r="I382" t="s">
        <v>197</v>
      </c>
      <c r="J382" t="s">
        <v>415</v>
      </c>
      <c r="K382">
        <v>174</v>
      </c>
      <c r="L382" s="36">
        <v>43820</v>
      </c>
      <c r="M382">
        <v>29.07</v>
      </c>
      <c r="N382">
        <v>1.91</v>
      </c>
      <c r="O382">
        <f t="shared" si="5"/>
        <v>30.98</v>
      </c>
    </row>
    <row r="383" spans="1:15" hidden="1">
      <c r="A383" t="s">
        <v>979</v>
      </c>
      <c r="B383" t="s">
        <v>980</v>
      </c>
      <c r="C383" t="s">
        <v>191</v>
      </c>
      <c r="D383" t="s">
        <v>192</v>
      </c>
      <c r="E383" t="s">
        <v>193</v>
      </c>
      <c r="F383" t="s">
        <v>414</v>
      </c>
      <c r="G383" t="s">
        <v>415</v>
      </c>
      <c r="H383" t="s">
        <v>196</v>
      </c>
      <c r="I383" t="s">
        <v>197</v>
      </c>
      <c r="J383" t="s">
        <v>415</v>
      </c>
      <c r="K383">
        <v>407</v>
      </c>
      <c r="L383" s="36">
        <v>43875</v>
      </c>
      <c r="M383">
        <v>0.34</v>
      </c>
      <c r="N383">
        <v>2.4700000000000002</v>
      </c>
      <c r="O383">
        <f t="shared" si="5"/>
        <v>2.81</v>
      </c>
    </row>
    <row r="384" spans="1:15" hidden="1">
      <c r="A384" t="s">
        <v>981</v>
      </c>
      <c r="B384" t="s">
        <v>982</v>
      </c>
      <c r="C384" t="s">
        <v>191</v>
      </c>
      <c r="D384" t="s">
        <v>192</v>
      </c>
      <c r="E384" t="s">
        <v>193</v>
      </c>
      <c r="F384" t="s">
        <v>201</v>
      </c>
      <c r="G384" t="s">
        <v>212</v>
      </c>
      <c r="H384" t="s">
        <v>196</v>
      </c>
      <c r="I384" t="s">
        <v>197</v>
      </c>
      <c r="J384" t="s">
        <v>203</v>
      </c>
      <c r="K384">
        <v>68</v>
      </c>
      <c r="L384" s="36">
        <v>43838</v>
      </c>
      <c r="M384">
        <v>0.81</v>
      </c>
      <c r="N384">
        <v>1.21</v>
      </c>
      <c r="O384">
        <f t="shared" si="5"/>
        <v>2.02</v>
      </c>
    </row>
    <row r="385" spans="1:15" hidden="1">
      <c r="A385" t="s">
        <v>983</v>
      </c>
      <c r="B385" t="s">
        <v>984</v>
      </c>
      <c r="C385" t="s">
        <v>191</v>
      </c>
      <c r="D385" t="s">
        <v>192</v>
      </c>
      <c r="E385" t="s">
        <v>193</v>
      </c>
      <c r="F385" t="s">
        <v>201</v>
      </c>
      <c r="G385" t="s">
        <v>212</v>
      </c>
      <c r="H385" t="s">
        <v>196</v>
      </c>
      <c r="I385" t="s">
        <v>197</v>
      </c>
      <c r="J385" t="s">
        <v>203</v>
      </c>
      <c r="K385">
        <v>266</v>
      </c>
      <c r="L385" s="36">
        <v>43834</v>
      </c>
      <c r="M385">
        <v>0.63</v>
      </c>
      <c r="N385">
        <v>0.93</v>
      </c>
      <c r="O385">
        <f t="shared" si="5"/>
        <v>1.56</v>
      </c>
    </row>
    <row r="386" spans="1:15" hidden="1">
      <c r="A386" t="s">
        <v>985</v>
      </c>
      <c r="B386" t="s">
        <v>986</v>
      </c>
      <c r="C386" t="s">
        <v>191</v>
      </c>
      <c r="D386" t="s">
        <v>192</v>
      </c>
      <c r="E386" t="s">
        <v>193</v>
      </c>
      <c r="F386" t="s">
        <v>201</v>
      </c>
      <c r="G386" t="s">
        <v>212</v>
      </c>
      <c r="H386" t="s">
        <v>196</v>
      </c>
      <c r="I386" t="s">
        <v>197</v>
      </c>
      <c r="J386" t="s">
        <v>203</v>
      </c>
      <c r="K386">
        <v>1188</v>
      </c>
      <c r="L386" s="36">
        <v>43829</v>
      </c>
      <c r="M386">
        <v>5.36</v>
      </c>
      <c r="N386">
        <v>3.2</v>
      </c>
      <c r="O386">
        <f t="shared" si="5"/>
        <v>8.56</v>
      </c>
    </row>
    <row r="387" spans="1:15" hidden="1">
      <c r="A387" t="s">
        <v>987</v>
      </c>
      <c r="B387" t="s">
        <v>988</v>
      </c>
      <c r="C387" t="s">
        <v>191</v>
      </c>
      <c r="D387" t="s">
        <v>192</v>
      </c>
      <c r="E387" t="s">
        <v>193</v>
      </c>
      <c r="F387" t="s">
        <v>201</v>
      </c>
      <c r="G387" t="s">
        <v>212</v>
      </c>
      <c r="H387" t="s">
        <v>196</v>
      </c>
      <c r="I387" t="s">
        <v>197</v>
      </c>
      <c r="J387" t="s">
        <v>203</v>
      </c>
      <c r="K387">
        <v>620</v>
      </c>
      <c r="L387" s="36">
        <v>43808</v>
      </c>
      <c r="M387">
        <v>3.83</v>
      </c>
      <c r="N387">
        <v>1.93</v>
      </c>
      <c r="O387">
        <f t="shared" ref="O387:O450" si="6">M387+N387</f>
        <v>5.76</v>
      </c>
    </row>
    <row r="388" spans="1:15" hidden="1">
      <c r="A388" t="s">
        <v>989</v>
      </c>
      <c r="B388" t="s">
        <v>990</v>
      </c>
      <c r="C388" t="s">
        <v>272</v>
      </c>
      <c r="D388" t="s">
        <v>192</v>
      </c>
      <c r="E388" t="s">
        <v>193</v>
      </c>
      <c r="F388" t="s">
        <v>201</v>
      </c>
      <c r="G388" t="s">
        <v>212</v>
      </c>
      <c r="H388" t="s">
        <v>196</v>
      </c>
      <c r="I388" t="s">
        <v>197</v>
      </c>
      <c r="J388" t="s">
        <v>203</v>
      </c>
      <c r="K388">
        <v>685</v>
      </c>
      <c r="L388" s="36">
        <v>43815</v>
      </c>
      <c r="M388">
        <v>0.5</v>
      </c>
      <c r="N388">
        <v>1.99</v>
      </c>
      <c r="O388">
        <f t="shared" si="6"/>
        <v>2.4900000000000002</v>
      </c>
    </row>
    <row r="389" spans="1:15" hidden="1">
      <c r="A389" t="s">
        <v>991</v>
      </c>
      <c r="B389" t="s">
        <v>992</v>
      </c>
      <c r="C389" t="s">
        <v>232</v>
      </c>
      <c r="D389" t="s">
        <v>192</v>
      </c>
      <c r="E389" t="s">
        <v>193</v>
      </c>
      <c r="F389" t="s">
        <v>201</v>
      </c>
      <c r="G389" t="s">
        <v>233</v>
      </c>
      <c r="H389" t="s">
        <v>196</v>
      </c>
      <c r="I389" t="s">
        <v>197</v>
      </c>
      <c r="J389" t="s">
        <v>234</v>
      </c>
      <c r="K389">
        <v>4309.8500000000004</v>
      </c>
      <c r="L389" s="36">
        <v>43899</v>
      </c>
      <c r="M389">
        <v>2.35</v>
      </c>
      <c r="N389">
        <v>2.68</v>
      </c>
      <c r="O389">
        <f t="shared" si="6"/>
        <v>5.03</v>
      </c>
    </row>
    <row r="390" spans="1:15" hidden="1">
      <c r="A390" t="s">
        <v>993</v>
      </c>
      <c r="B390" t="s">
        <v>994</v>
      </c>
      <c r="C390" t="s">
        <v>191</v>
      </c>
      <c r="D390" t="s">
        <v>192</v>
      </c>
      <c r="E390" t="s">
        <v>193</v>
      </c>
      <c r="F390" t="s">
        <v>201</v>
      </c>
      <c r="G390" t="s">
        <v>233</v>
      </c>
      <c r="H390" t="s">
        <v>196</v>
      </c>
      <c r="I390" t="s">
        <v>197</v>
      </c>
      <c r="J390" t="s">
        <v>234</v>
      </c>
      <c r="K390">
        <v>28653.63</v>
      </c>
      <c r="L390" s="36">
        <v>43857</v>
      </c>
      <c r="M390">
        <v>4.26</v>
      </c>
      <c r="N390">
        <v>2.33</v>
      </c>
      <c r="O390">
        <f t="shared" si="6"/>
        <v>6.59</v>
      </c>
    </row>
    <row r="391" spans="1:15" hidden="1">
      <c r="A391" t="s">
        <v>995</v>
      </c>
      <c r="B391" t="s">
        <v>996</v>
      </c>
      <c r="C391" t="s">
        <v>191</v>
      </c>
      <c r="D391" t="s">
        <v>192</v>
      </c>
      <c r="E391" t="s">
        <v>193</v>
      </c>
      <c r="F391" t="s">
        <v>201</v>
      </c>
      <c r="G391" t="s">
        <v>233</v>
      </c>
      <c r="H391" t="s">
        <v>196</v>
      </c>
      <c r="I391" t="s">
        <v>197</v>
      </c>
      <c r="J391" t="s">
        <v>234</v>
      </c>
      <c r="K391">
        <v>676.89</v>
      </c>
      <c r="L391" s="36">
        <v>43902</v>
      </c>
      <c r="M391">
        <v>4.0199999999999996</v>
      </c>
      <c r="N391">
        <v>5.78</v>
      </c>
      <c r="O391">
        <f t="shared" si="6"/>
        <v>9.8000000000000007</v>
      </c>
    </row>
    <row r="392" spans="1:15" hidden="1">
      <c r="A392" t="s">
        <v>997</v>
      </c>
      <c r="B392" t="s">
        <v>998</v>
      </c>
      <c r="C392" t="s">
        <v>434</v>
      </c>
      <c r="D392" t="s">
        <v>192</v>
      </c>
      <c r="E392" t="s">
        <v>193</v>
      </c>
      <c r="F392" t="s">
        <v>194</v>
      </c>
      <c r="G392" t="s">
        <v>369</v>
      </c>
      <c r="H392" t="s">
        <v>196</v>
      </c>
      <c r="I392" t="s">
        <v>197</v>
      </c>
      <c r="J392" t="s">
        <v>369</v>
      </c>
      <c r="K392">
        <v>3100</v>
      </c>
      <c r="L392" s="36">
        <v>43893</v>
      </c>
      <c r="M392">
        <v>0.99</v>
      </c>
      <c r="N392">
        <v>0.01</v>
      </c>
      <c r="O392">
        <f t="shared" si="6"/>
        <v>1</v>
      </c>
    </row>
    <row r="393" spans="1:15" hidden="1">
      <c r="A393" t="s">
        <v>999</v>
      </c>
      <c r="B393" t="s">
        <v>1000</v>
      </c>
      <c r="C393" t="s">
        <v>191</v>
      </c>
      <c r="D393" t="s">
        <v>192</v>
      </c>
      <c r="E393" t="s">
        <v>193</v>
      </c>
      <c r="F393" t="s">
        <v>194</v>
      </c>
      <c r="G393" t="s">
        <v>369</v>
      </c>
      <c r="H393" t="s">
        <v>196</v>
      </c>
      <c r="I393" t="s">
        <v>197</v>
      </c>
      <c r="J393" t="s">
        <v>369</v>
      </c>
      <c r="K393">
        <v>400</v>
      </c>
      <c r="L393" s="36">
        <v>43893</v>
      </c>
      <c r="M393">
        <v>10.56</v>
      </c>
      <c r="N393">
        <v>1.44</v>
      </c>
      <c r="O393">
        <f t="shared" si="6"/>
        <v>12</v>
      </c>
    </row>
    <row r="394" spans="1:15" hidden="1">
      <c r="A394" t="s">
        <v>1001</v>
      </c>
      <c r="B394" t="s">
        <v>1002</v>
      </c>
      <c r="C394" t="s">
        <v>232</v>
      </c>
      <c r="D394" t="s">
        <v>192</v>
      </c>
      <c r="E394" t="s">
        <v>193</v>
      </c>
      <c r="F394" t="s">
        <v>414</v>
      </c>
      <c r="G394" t="s">
        <v>163</v>
      </c>
      <c r="H394" t="s">
        <v>196</v>
      </c>
      <c r="I394" t="s">
        <v>197</v>
      </c>
      <c r="J394" t="s">
        <v>941</v>
      </c>
      <c r="K394">
        <v>12</v>
      </c>
      <c r="L394" s="36">
        <v>43891</v>
      </c>
      <c r="M394">
        <v>0</v>
      </c>
      <c r="N394">
        <v>0.65</v>
      </c>
      <c r="O394">
        <f t="shared" si="6"/>
        <v>0.65</v>
      </c>
    </row>
    <row r="395" spans="1:15" hidden="1">
      <c r="A395" t="s">
        <v>1003</v>
      </c>
      <c r="B395" t="s">
        <v>1004</v>
      </c>
      <c r="C395" t="s">
        <v>191</v>
      </c>
      <c r="D395" t="s">
        <v>192</v>
      </c>
      <c r="E395" t="s">
        <v>193</v>
      </c>
      <c r="F395" t="s">
        <v>414</v>
      </c>
      <c r="G395" t="s">
        <v>415</v>
      </c>
      <c r="H395" t="s">
        <v>196</v>
      </c>
      <c r="I395" t="s">
        <v>197</v>
      </c>
      <c r="J395" t="s">
        <v>415</v>
      </c>
      <c r="K395">
        <v>19</v>
      </c>
      <c r="L395" s="36">
        <v>43844</v>
      </c>
      <c r="M395">
        <v>0.19</v>
      </c>
      <c r="N395">
        <v>0.21</v>
      </c>
      <c r="O395">
        <f t="shared" si="6"/>
        <v>0.4</v>
      </c>
    </row>
    <row r="396" spans="1:15" hidden="1">
      <c r="A396" t="s">
        <v>1005</v>
      </c>
      <c r="B396" t="s">
        <v>1006</v>
      </c>
      <c r="C396" t="s">
        <v>191</v>
      </c>
      <c r="D396" t="s">
        <v>192</v>
      </c>
      <c r="E396" t="s">
        <v>193</v>
      </c>
      <c r="F396" t="s">
        <v>194</v>
      </c>
      <c r="G396" t="s">
        <v>369</v>
      </c>
      <c r="H396" t="s">
        <v>196</v>
      </c>
      <c r="I396" t="s">
        <v>197</v>
      </c>
      <c r="J396" t="s">
        <v>369</v>
      </c>
      <c r="K396">
        <v>1010</v>
      </c>
      <c r="L396" s="36">
        <v>43397</v>
      </c>
      <c r="M396">
        <v>46.11</v>
      </c>
      <c r="N396">
        <v>0.99</v>
      </c>
      <c r="O396">
        <f t="shared" si="6"/>
        <v>47.1</v>
      </c>
    </row>
    <row r="397" spans="1:15" hidden="1">
      <c r="A397" t="s">
        <v>1007</v>
      </c>
      <c r="B397" t="s">
        <v>1008</v>
      </c>
      <c r="C397" t="s">
        <v>191</v>
      </c>
      <c r="D397" t="s">
        <v>192</v>
      </c>
      <c r="E397" t="s">
        <v>193</v>
      </c>
      <c r="F397" t="s">
        <v>194</v>
      </c>
      <c r="G397" t="s">
        <v>1009</v>
      </c>
      <c r="H397" t="s">
        <v>196</v>
      </c>
      <c r="I397" t="s">
        <v>197</v>
      </c>
      <c r="J397" t="s">
        <v>1010</v>
      </c>
      <c r="K397">
        <v>210</v>
      </c>
      <c r="L397" s="36">
        <v>43906</v>
      </c>
      <c r="M397">
        <v>1.17</v>
      </c>
      <c r="N397">
        <v>4.67</v>
      </c>
      <c r="O397">
        <f t="shared" si="6"/>
        <v>5.84</v>
      </c>
    </row>
    <row r="398" spans="1:15" hidden="1">
      <c r="A398" t="s">
        <v>1011</v>
      </c>
      <c r="B398" t="s">
        <v>1012</v>
      </c>
      <c r="C398" t="s">
        <v>232</v>
      </c>
      <c r="D398" t="s">
        <v>192</v>
      </c>
      <c r="E398" t="s">
        <v>193</v>
      </c>
      <c r="F398" t="s">
        <v>414</v>
      </c>
      <c r="G398" t="s">
        <v>163</v>
      </c>
      <c r="H398" t="s">
        <v>196</v>
      </c>
      <c r="I398" t="s">
        <v>197</v>
      </c>
      <c r="J398" t="s">
        <v>941</v>
      </c>
      <c r="K398">
        <v>91.8</v>
      </c>
      <c r="L398" s="36">
        <v>43891</v>
      </c>
      <c r="M398">
        <v>7.0000000000000007E-2</v>
      </c>
      <c r="N398">
        <v>5</v>
      </c>
      <c r="O398">
        <f t="shared" si="6"/>
        <v>5.07</v>
      </c>
    </row>
    <row r="399" spans="1:15" hidden="1">
      <c r="A399" t="s">
        <v>1013</v>
      </c>
      <c r="B399" t="s">
        <v>1014</v>
      </c>
      <c r="C399" t="s">
        <v>232</v>
      </c>
      <c r="D399" t="s">
        <v>192</v>
      </c>
      <c r="E399" t="s">
        <v>193</v>
      </c>
      <c r="F399" t="s">
        <v>414</v>
      </c>
      <c r="G399" t="s">
        <v>163</v>
      </c>
      <c r="H399" t="s">
        <v>196</v>
      </c>
      <c r="I399" t="s">
        <v>197</v>
      </c>
      <c r="J399" t="s">
        <v>941</v>
      </c>
      <c r="K399">
        <v>18</v>
      </c>
      <c r="L399" s="36">
        <v>43883</v>
      </c>
      <c r="M399">
        <v>0.16</v>
      </c>
      <c r="N399">
        <v>0.82</v>
      </c>
      <c r="O399">
        <f t="shared" si="6"/>
        <v>0.98</v>
      </c>
    </row>
    <row r="400" spans="1:15" hidden="1">
      <c r="A400" t="s">
        <v>1015</v>
      </c>
      <c r="B400" t="s">
        <v>1016</v>
      </c>
      <c r="C400" t="s">
        <v>191</v>
      </c>
      <c r="D400" t="s">
        <v>192</v>
      </c>
      <c r="E400" t="s">
        <v>193</v>
      </c>
      <c r="F400" t="s">
        <v>201</v>
      </c>
      <c r="G400" t="s">
        <v>233</v>
      </c>
      <c r="H400" t="s">
        <v>196</v>
      </c>
      <c r="I400" t="s">
        <v>197</v>
      </c>
      <c r="J400" t="s">
        <v>234</v>
      </c>
      <c r="K400">
        <v>5248.2</v>
      </c>
      <c r="L400" s="36">
        <v>43904</v>
      </c>
      <c r="M400">
        <v>0.12</v>
      </c>
      <c r="N400">
        <v>2.78</v>
      </c>
      <c r="O400">
        <f t="shared" si="6"/>
        <v>2.9</v>
      </c>
    </row>
    <row r="401" spans="1:15" hidden="1">
      <c r="A401" t="s">
        <v>1017</v>
      </c>
      <c r="B401" t="s">
        <v>1018</v>
      </c>
      <c r="C401" t="s">
        <v>232</v>
      </c>
      <c r="D401" t="s">
        <v>192</v>
      </c>
      <c r="E401" t="s">
        <v>193</v>
      </c>
      <c r="F401" t="s">
        <v>414</v>
      </c>
      <c r="G401" t="s">
        <v>163</v>
      </c>
      <c r="H401" t="s">
        <v>196</v>
      </c>
      <c r="I401" t="s">
        <v>197</v>
      </c>
      <c r="J401" t="s">
        <v>941</v>
      </c>
      <c r="K401">
        <v>30.52</v>
      </c>
      <c r="L401" s="36">
        <v>43872</v>
      </c>
      <c r="M401">
        <v>0</v>
      </c>
      <c r="N401">
        <v>4.07</v>
      </c>
      <c r="O401">
        <f t="shared" si="6"/>
        <v>4.07</v>
      </c>
    </row>
    <row r="402" spans="1:15" hidden="1">
      <c r="A402" t="s">
        <v>1019</v>
      </c>
      <c r="B402" t="s">
        <v>1020</v>
      </c>
      <c r="C402" t="s">
        <v>232</v>
      </c>
      <c r="D402" t="s">
        <v>192</v>
      </c>
      <c r="E402" t="s">
        <v>193</v>
      </c>
      <c r="F402" t="s">
        <v>414</v>
      </c>
      <c r="G402" t="s">
        <v>163</v>
      </c>
      <c r="H402" t="s">
        <v>196</v>
      </c>
      <c r="I402" t="s">
        <v>197</v>
      </c>
      <c r="J402" t="s">
        <v>941</v>
      </c>
      <c r="K402">
        <v>26.22</v>
      </c>
      <c r="L402" s="36">
        <v>43873</v>
      </c>
      <c r="M402">
        <v>0.05</v>
      </c>
      <c r="N402">
        <v>7.46</v>
      </c>
      <c r="O402">
        <f t="shared" si="6"/>
        <v>7.51</v>
      </c>
    </row>
    <row r="403" spans="1:15" hidden="1">
      <c r="A403" t="s">
        <v>1021</v>
      </c>
      <c r="B403" t="s">
        <v>1022</v>
      </c>
      <c r="C403" t="s">
        <v>232</v>
      </c>
      <c r="D403" t="s">
        <v>192</v>
      </c>
      <c r="E403" t="s">
        <v>193</v>
      </c>
      <c r="F403" t="s">
        <v>414</v>
      </c>
      <c r="G403" t="s">
        <v>163</v>
      </c>
      <c r="H403" t="s">
        <v>196</v>
      </c>
      <c r="I403" t="s">
        <v>197</v>
      </c>
      <c r="J403" t="s">
        <v>941</v>
      </c>
      <c r="K403">
        <v>115.59</v>
      </c>
      <c r="L403" s="36">
        <v>43894</v>
      </c>
      <c r="M403">
        <v>0.03</v>
      </c>
      <c r="N403">
        <v>5.84</v>
      </c>
      <c r="O403">
        <f t="shared" si="6"/>
        <v>5.87</v>
      </c>
    </row>
    <row r="404" spans="1:15" hidden="1">
      <c r="A404" t="s">
        <v>1023</v>
      </c>
      <c r="B404" t="s">
        <v>1024</v>
      </c>
      <c r="C404" t="s">
        <v>211</v>
      </c>
      <c r="D404" t="s">
        <v>192</v>
      </c>
      <c r="E404" t="s">
        <v>193</v>
      </c>
      <c r="F404" t="s">
        <v>201</v>
      </c>
      <c r="G404" t="s">
        <v>202</v>
      </c>
      <c r="H404" t="s">
        <v>196</v>
      </c>
      <c r="I404" t="s">
        <v>197</v>
      </c>
      <c r="J404" t="s">
        <v>213</v>
      </c>
      <c r="K404">
        <v>0</v>
      </c>
      <c r="L404" s="36">
        <v>43514</v>
      </c>
      <c r="M404">
        <v>0</v>
      </c>
      <c r="N404">
        <v>0</v>
      </c>
      <c r="O404">
        <f t="shared" si="6"/>
        <v>0</v>
      </c>
    </row>
    <row r="405" spans="1:15" hidden="1">
      <c r="A405" t="s">
        <v>1025</v>
      </c>
      <c r="B405" t="s">
        <v>1026</v>
      </c>
      <c r="C405" t="s">
        <v>191</v>
      </c>
      <c r="D405" t="s">
        <v>192</v>
      </c>
      <c r="E405" t="s">
        <v>193</v>
      </c>
      <c r="F405" t="s">
        <v>201</v>
      </c>
      <c r="G405" t="s">
        <v>233</v>
      </c>
      <c r="H405" t="s">
        <v>196</v>
      </c>
      <c r="I405" t="s">
        <v>197</v>
      </c>
      <c r="J405" t="s">
        <v>234</v>
      </c>
      <c r="K405">
        <v>100</v>
      </c>
      <c r="L405" s="36">
        <v>43899</v>
      </c>
      <c r="M405">
        <v>16.82</v>
      </c>
      <c r="N405">
        <v>0.17</v>
      </c>
      <c r="O405">
        <f t="shared" si="6"/>
        <v>16.990000000000002</v>
      </c>
    </row>
    <row r="406" spans="1:15" hidden="1">
      <c r="A406" t="s">
        <v>1027</v>
      </c>
      <c r="B406" t="s">
        <v>1028</v>
      </c>
      <c r="C406" t="s">
        <v>232</v>
      </c>
      <c r="D406" t="s">
        <v>192</v>
      </c>
      <c r="E406" t="s">
        <v>193</v>
      </c>
      <c r="F406" t="s">
        <v>194</v>
      </c>
      <c r="G406" t="s">
        <v>306</v>
      </c>
      <c r="H406" t="s">
        <v>196</v>
      </c>
      <c r="I406" t="s">
        <v>197</v>
      </c>
      <c r="J406" t="s">
        <v>309</v>
      </c>
      <c r="K406">
        <v>10</v>
      </c>
      <c r="L406" s="36">
        <v>43904</v>
      </c>
      <c r="M406">
        <v>21.84</v>
      </c>
      <c r="N406">
        <v>3.66</v>
      </c>
      <c r="O406">
        <f t="shared" si="6"/>
        <v>25.5</v>
      </c>
    </row>
    <row r="407" spans="1:15" hidden="1">
      <c r="A407" t="s">
        <v>1029</v>
      </c>
      <c r="B407" t="s">
        <v>1030</v>
      </c>
      <c r="C407" t="s">
        <v>232</v>
      </c>
      <c r="D407" t="s">
        <v>192</v>
      </c>
      <c r="E407" t="s">
        <v>193</v>
      </c>
      <c r="F407" t="s">
        <v>194</v>
      </c>
      <c r="G407" t="s">
        <v>306</v>
      </c>
      <c r="H407" t="s">
        <v>196</v>
      </c>
      <c r="I407" t="s">
        <v>197</v>
      </c>
      <c r="J407" t="s">
        <v>309</v>
      </c>
      <c r="K407">
        <v>5</v>
      </c>
      <c r="L407" s="36">
        <v>43881</v>
      </c>
      <c r="M407">
        <v>146.54</v>
      </c>
      <c r="N407">
        <v>5.15</v>
      </c>
      <c r="O407">
        <f t="shared" si="6"/>
        <v>151.69</v>
      </c>
    </row>
    <row r="408" spans="1:15" hidden="1">
      <c r="A408" t="s">
        <v>1031</v>
      </c>
      <c r="B408" t="s">
        <v>1032</v>
      </c>
      <c r="C408" t="s">
        <v>191</v>
      </c>
      <c r="D408" t="s">
        <v>192</v>
      </c>
      <c r="E408" t="s">
        <v>193</v>
      </c>
      <c r="F408" t="s">
        <v>194</v>
      </c>
      <c r="G408" t="s">
        <v>372</v>
      </c>
      <c r="H408" t="s">
        <v>196</v>
      </c>
      <c r="I408" t="s">
        <v>197</v>
      </c>
      <c r="J408" t="s">
        <v>379</v>
      </c>
      <c r="K408">
        <v>1784</v>
      </c>
      <c r="L408" s="36">
        <v>43906</v>
      </c>
      <c r="M408">
        <v>32.369999999999997</v>
      </c>
      <c r="N408">
        <v>2.2799999999999998</v>
      </c>
      <c r="O408">
        <f t="shared" si="6"/>
        <v>34.65</v>
      </c>
    </row>
    <row r="409" spans="1:15" hidden="1">
      <c r="A409" t="s">
        <v>1033</v>
      </c>
      <c r="B409" t="s">
        <v>1034</v>
      </c>
      <c r="C409" t="s">
        <v>191</v>
      </c>
      <c r="D409" t="s">
        <v>192</v>
      </c>
      <c r="E409" t="s">
        <v>193</v>
      </c>
      <c r="F409" t="s">
        <v>414</v>
      </c>
      <c r="G409" t="s">
        <v>415</v>
      </c>
      <c r="H409" t="s">
        <v>196</v>
      </c>
      <c r="I409" t="s">
        <v>197</v>
      </c>
      <c r="J409" t="s">
        <v>415</v>
      </c>
      <c r="K409">
        <v>26</v>
      </c>
      <c r="L409" s="36">
        <v>43907</v>
      </c>
      <c r="M409">
        <v>1.68</v>
      </c>
      <c r="N409">
        <v>0.3</v>
      </c>
      <c r="O409">
        <f t="shared" si="6"/>
        <v>1.98</v>
      </c>
    </row>
    <row r="410" spans="1:15" hidden="1">
      <c r="A410" t="s">
        <v>1035</v>
      </c>
      <c r="B410" t="s">
        <v>1036</v>
      </c>
      <c r="C410" t="s">
        <v>232</v>
      </c>
      <c r="D410" t="s">
        <v>192</v>
      </c>
      <c r="E410" t="s">
        <v>193</v>
      </c>
      <c r="F410" t="s">
        <v>414</v>
      </c>
      <c r="G410" t="s">
        <v>163</v>
      </c>
      <c r="H410" t="s">
        <v>196</v>
      </c>
      <c r="I410" t="s">
        <v>197</v>
      </c>
      <c r="J410" t="s">
        <v>941</v>
      </c>
      <c r="K410">
        <v>48.1</v>
      </c>
      <c r="L410" s="36">
        <v>43883</v>
      </c>
      <c r="M410">
        <v>0.13</v>
      </c>
      <c r="N410">
        <v>1.67</v>
      </c>
      <c r="O410">
        <f t="shared" si="6"/>
        <v>1.7999999999999998</v>
      </c>
    </row>
    <row r="411" spans="1:15" hidden="1">
      <c r="A411" t="s">
        <v>1037</v>
      </c>
      <c r="B411" t="s">
        <v>1038</v>
      </c>
      <c r="C411" t="s">
        <v>232</v>
      </c>
      <c r="D411" t="s">
        <v>192</v>
      </c>
      <c r="E411" t="s">
        <v>193</v>
      </c>
      <c r="F411" t="s">
        <v>414</v>
      </c>
      <c r="G411" t="s">
        <v>163</v>
      </c>
      <c r="H411" t="s">
        <v>196</v>
      </c>
      <c r="I411" t="s">
        <v>197</v>
      </c>
      <c r="J411" t="s">
        <v>1039</v>
      </c>
      <c r="K411">
        <v>13</v>
      </c>
      <c r="L411" s="36">
        <v>43907</v>
      </c>
      <c r="M411">
        <v>0.02</v>
      </c>
      <c r="N411">
        <v>1.83</v>
      </c>
      <c r="O411">
        <f t="shared" si="6"/>
        <v>1.85</v>
      </c>
    </row>
    <row r="412" spans="1:15" hidden="1">
      <c r="A412" t="s">
        <v>1040</v>
      </c>
      <c r="B412" t="s">
        <v>1041</v>
      </c>
      <c r="C412" t="s">
        <v>232</v>
      </c>
      <c r="D412" t="s">
        <v>192</v>
      </c>
      <c r="E412" t="s">
        <v>193</v>
      </c>
      <c r="F412" t="s">
        <v>414</v>
      </c>
      <c r="G412" t="s">
        <v>163</v>
      </c>
      <c r="H412" t="s">
        <v>196</v>
      </c>
      <c r="I412" t="s">
        <v>197</v>
      </c>
      <c r="J412" t="s">
        <v>941</v>
      </c>
      <c r="K412">
        <v>18.23</v>
      </c>
      <c r="L412" s="36">
        <v>43890</v>
      </c>
      <c r="M412">
        <v>0.02</v>
      </c>
      <c r="N412">
        <v>4.3899999999999997</v>
      </c>
      <c r="O412">
        <f t="shared" si="6"/>
        <v>4.4099999999999993</v>
      </c>
    </row>
    <row r="413" spans="1:15" hidden="1">
      <c r="A413" t="s">
        <v>1042</v>
      </c>
      <c r="B413" t="s">
        <v>1043</v>
      </c>
      <c r="C413" t="s">
        <v>232</v>
      </c>
      <c r="D413" t="s">
        <v>192</v>
      </c>
      <c r="E413" t="s">
        <v>193</v>
      </c>
      <c r="F413" t="s">
        <v>414</v>
      </c>
      <c r="G413" t="s">
        <v>163</v>
      </c>
      <c r="H413" t="s">
        <v>196</v>
      </c>
      <c r="I413" t="s">
        <v>197</v>
      </c>
      <c r="J413" t="s">
        <v>680</v>
      </c>
      <c r="K413">
        <v>116.9</v>
      </c>
      <c r="L413" s="36">
        <v>43890</v>
      </c>
      <c r="M413">
        <v>0.22</v>
      </c>
      <c r="N413">
        <v>5.13</v>
      </c>
      <c r="O413">
        <f t="shared" si="6"/>
        <v>5.35</v>
      </c>
    </row>
    <row r="414" spans="1:15" hidden="1">
      <c r="A414" t="s">
        <v>1044</v>
      </c>
      <c r="B414" t="s">
        <v>1045</v>
      </c>
      <c r="C414" t="s">
        <v>232</v>
      </c>
      <c r="D414" t="s">
        <v>192</v>
      </c>
      <c r="E414" t="s">
        <v>193</v>
      </c>
      <c r="F414" t="s">
        <v>414</v>
      </c>
      <c r="G414" t="s">
        <v>163</v>
      </c>
      <c r="H414" t="s">
        <v>196</v>
      </c>
      <c r="I414" t="s">
        <v>197</v>
      </c>
      <c r="J414" t="s">
        <v>1039</v>
      </c>
      <c r="K414">
        <v>18</v>
      </c>
      <c r="L414" s="36">
        <v>43907</v>
      </c>
      <c r="M414">
        <v>0.02</v>
      </c>
      <c r="N414">
        <v>3.36</v>
      </c>
      <c r="O414">
        <f t="shared" si="6"/>
        <v>3.38</v>
      </c>
    </row>
    <row r="415" spans="1:15" hidden="1">
      <c r="A415" t="s">
        <v>1046</v>
      </c>
      <c r="B415" t="s">
        <v>1047</v>
      </c>
      <c r="C415" t="s">
        <v>232</v>
      </c>
      <c r="D415" t="s">
        <v>192</v>
      </c>
      <c r="E415" t="s">
        <v>193</v>
      </c>
      <c r="F415" t="s">
        <v>414</v>
      </c>
      <c r="G415" t="s">
        <v>163</v>
      </c>
      <c r="H415" t="s">
        <v>196</v>
      </c>
      <c r="I415" t="s">
        <v>197</v>
      </c>
      <c r="J415" t="s">
        <v>680</v>
      </c>
      <c r="K415">
        <v>123</v>
      </c>
      <c r="L415" s="36">
        <v>43909</v>
      </c>
      <c r="M415">
        <v>0.28000000000000003</v>
      </c>
      <c r="N415">
        <v>8.7899999999999991</v>
      </c>
      <c r="O415">
        <f t="shared" si="6"/>
        <v>9.0699999999999985</v>
      </c>
    </row>
    <row r="416" spans="1:15" hidden="1">
      <c r="A416" t="s">
        <v>1048</v>
      </c>
      <c r="B416" t="s">
        <v>1049</v>
      </c>
      <c r="C416" t="s">
        <v>232</v>
      </c>
      <c r="D416" t="s">
        <v>192</v>
      </c>
      <c r="E416" t="s">
        <v>193</v>
      </c>
      <c r="F416" t="s">
        <v>414</v>
      </c>
      <c r="G416" t="s">
        <v>163</v>
      </c>
      <c r="H416" t="s">
        <v>196</v>
      </c>
      <c r="I416" t="s">
        <v>197</v>
      </c>
      <c r="J416" t="s">
        <v>1039</v>
      </c>
      <c r="K416">
        <v>13</v>
      </c>
      <c r="L416" s="36">
        <v>43907</v>
      </c>
      <c r="M416">
        <v>0.02</v>
      </c>
      <c r="N416">
        <v>2.87</v>
      </c>
      <c r="O416">
        <f t="shared" si="6"/>
        <v>2.89</v>
      </c>
    </row>
    <row r="417" spans="1:15" hidden="1">
      <c r="A417" t="s">
        <v>1050</v>
      </c>
      <c r="B417" t="s">
        <v>1051</v>
      </c>
      <c r="C417" t="s">
        <v>232</v>
      </c>
      <c r="D417" t="s">
        <v>192</v>
      </c>
      <c r="E417" t="s">
        <v>193</v>
      </c>
      <c r="F417" t="s">
        <v>414</v>
      </c>
      <c r="G417" t="s">
        <v>163</v>
      </c>
      <c r="H417" t="s">
        <v>196</v>
      </c>
      <c r="I417" t="s">
        <v>197</v>
      </c>
      <c r="J417" t="s">
        <v>972</v>
      </c>
      <c r="K417">
        <v>315</v>
      </c>
      <c r="L417" s="36">
        <v>43872</v>
      </c>
      <c r="M417">
        <v>0.01</v>
      </c>
      <c r="N417">
        <v>2.88</v>
      </c>
      <c r="O417">
        <f t="shared" si="6"/>
        <v>2.8899999999999997</v>
      </c>
    </row>
    <row r="418" spans="1:15" hidden="1">
      <c r="A418" t="s">
        <v>1052</v>
      </c>
      <c r="B418" t="s">
        <v>1053</v>
      </c>
      <c r="C418" t="s">
        <v>211</v>
      </c>
      <c r="D418" t="s">
        <v>192</v>
      </c>
      <c r="E418" t="s">
        <v>193</v>
      </c>
      <c r="F418" t="s">
        <v>201</v>
      </c>
      <c r="G418" t="s">
        <v>202</v>
      </c>
      <c r="H418" t="s">
        <v>196</v>
      </c>
      <c r="I418" t="s">
        <v>197</v>
      </c>
      <c r="J418" t="s">
        <v>213</v>
      </c>
      <c r="K418">
        <v>0</v>
      </c>
      <c r="L418" s="36">
        <v>43514</v>
      </c>
      <c r="M418">
        <v>0</v>
      </c>
      <c r="N418">
        <v>0</v>
      </c>
      <c r="O418">
        <f t="shared" si="6"/>
        <v>0</v>
      </c>
    </row>
    <row r="419" spans="1:15" hidden="1">
      <c r="A419" t="s">
        <v>1054</v>
      </c>
      <c r="B419" t="s">
        <v>1055</v>
      </c>
      <c r="C419" t="s">
        <v>211</v>
      </c>
      <c r="D419" t="s">
        <v>192</v>
      </c>
      <c r="E419" t="s">
        <v>193</v>
      </c>
      <c r="F419" t="s">
        <v>201</v>
      </c>
      <c r="G419" t="s">
        <v>202</v>
      </c>
      <c r="H419" t="s">
        <v>196</v>
      </c>
      <c r="I419" t="s">
        <v>197</v>
      </c>
      <c r="J419" t="s">
        <v>213</v>
      </c>
      <c r="K419">
        <v>0</v>
      </c>
      <c r="L419" s="36">
        <v>43514</v>
      </c>
      <c r="M419">
        <v>0</v>
      </c>
      <c r="N419">
        <v>0</v>
      </c>
      <c r="O419">
        <f t="shared" si="6"/>
        <v>0</v>
      </c>
    </row>
    <row r="420" spans="1:15" hidden="1">
      <c r="A420" t="s">
        <v>1056</v>
      </c>
      <c r="B420" t="s">
        <v>1057</v>
      </c>
      <c r="C420" t="s">
        <v>232</v>
      </c>
      <c r="D420" t="s">
        <v>192</v>
      </c>
      <c r="E420" t="s">
        <v>193</v>
      </c>
      <c r="F420" t="s">
        <v>414</v>
      </c>
      <c r="G420" t="s">
        <v>163</v>
      </c>
      <c r="H420" t="s">
        <v>196</v>
      </c>
      <c r="I420" t="s">
        <v>197</v>
      </c>
      <c r="J420" t="s">
        <v>1039</v>
      </c>
      <c r="K420">
        <v>98</v>
      </c>
      <c r="L420" s="36">
        <v>43907</v>
      </c>
      <c r="M420">
        <v>0.03</v>
      </c>
      <c r="N420">
        <v>3.84</v>
      </c>
      <c r="O420">
        <f t="shared" si="6"/>
        <v>3.8699999999999997</v>
      </c>
    </row>
    <row r="421" spans="1:15" hidden="1">
      <c r="A421" t="s">
        <v>1058</v>
      </c>
      <c r="B421" t="s">
        <v>1059</v>
      </c>
      <c r="C421" t="s">
        <v>232</v>
      </c>
      <c r="D421" t="s">
        <v>192</v>
      </c>
      <c r="E421" t="s">
        <v>193</v>
      </c>
      <c r="F421" t="s">
        <v>414</v>
      </c>
      <c r="G421" t="s">
        <v>163</v>
      </c>
      <c r="H421" t="s">
        <v>196</v>
      </c>
      <c r="I421" t="s">
        <v>197</v>
      </c>
      <c r="J421" t="s">
        <v>1039</v>
      </c>
      <c r="K421">
        <v>175</v>
      </c>
      <c r="L421" s="36">
        <v>43907</v>
      </c>
      <c r="M421">
        <v>0.03</v>
      </c>
      <c r="N421">
        <v>4.8</v>
      </c>
      <c r="O421">
        <f t="shared" si="6"/>
        <v>4.83</v>
      </c>
    </row>
    <row r="422" spans="1:15" hidden="1">
      <c r="A422" t="s">
        <v>1060</v>
      </c>
      <c r="B422" t="s">
        <v>1061</v>
      </c>
      <c r="C422" t="s">
        <v>191</v>
      </c>
      <c r="D422" t="s">
        <v>192</v>
      </c>
      <c r="E422" t="s">
        <v>193</v>
      </c>
      <c r="F422" t="s">
        <v>201</v>
      </c>
      <c r="G422" t="s">
        <v>202</v>
      </c>
      <c r="H422" t="s">
        <v>196</v>
      </c>
      <c r="I422" t="s">
        <v>197</v>
      </c>
      <c r="J422" t="s">
        <v>206</v>
      </c>
      <c r="K422">
        <v>673.6</v>
      </c>
      <c r="L422" s="36">
        <v>43902</v>
      </c>
      <c r="M422">
        <v>38.299999999999997</v>
      </c>
      <c r="N422">
        <v>6.59</v>
      </c>
      <c r="O422">
        <f t="shared" si="6"/>
        <v>44.89</v>
      </c>
    </row>
    <row r="423" spans="1:15" hidden="1">
      <c r="A423" t="s">
        <v>1062</v>
      </c>
      <c r="B423" t="s">
        <v>1063</v>
      </c>
      <c r="C423" t="s">
        <v>191</v>
      </c>
      <c r="D423" t="s">
        <v>192</v>
      </c>
      <c r="E423" t="s">
        <v>193</v>
      </c>
      <c r="F423" t="s">
        <v>201</v>
      </c>
      <c r="G423" t="s">
        <v>202</v>
      </c>
      <c r="H423" t="s">
        <v>196</v>
      </c>
      <c r="I423" t="s">
        <v>197</v>
      </c>
      <c r="J423" t="s">
        <v>206</v>
      </c>
      <c r="K423">
        <v>250</v>
      </c>
      <c r="L423" s="36">
        <v>43894</v>
      </c>
      <c r="M423">
        <v>7.17</v>
      </c>
      <c r="N423">
        <v>6.96</v>
      </c>
      <c r="O423">
        <f t="shared" si="6"/>
        <v>14.129999999999999</v>
      </c>
    </row>
    <row r="424" spans="1:15" hidden="1">
      <c r="A424" t="s">
        <v>1064</v>
      </c>
      <c r="B424" t="s">
        <v>1065</v>
      </c>
      <c r="C424" t="s">
        <v>191</v>
      </c>
      <c r="D424" t="s">
        <v>192</v>
      </c>
      <c r="E424" t="s">
        <v>193</v>
      </c>
      <c r="F424" t="s">
        <v>201</v>
      </c>
      <c r="G424" t="s">
        <v>202</v>
      </c>
      <c r="H424" t="s">
        <v>196</v>
      </c>
      <c r="I424" t="s">
        <v>197</v>
      </c>
      <c r="J424" t="s">
        <v>206</v>
      </c>
      <c r="K424">
        <v>100.32</v>
      </c>
      <c r="L424" s="36">
        <v>43907</v>
      </c>
      <c r="M424">
        <v>23.67</v>
      </c>
      <c r="N424">
        <v>2.84</v>
      </c>
      <c r="O424">
        <f t="shared" si="6"/>
        <v>26.51</v>
      </c>
    </row>
    <row r="425" spans="1:15" hidden="1">
      <c r="A425" t="s">
        <v>1066</v>
      </c>
      <c r="B425" t="s">
        <v>1067</v>
      </c>
      <c r="C425" t="s">
        <v>191</v>
      </c>
      <c r="D425" t="s">
        <v>192</v>
      </c>
      <c r="E425" t="s">
        <v>193</v>
      </c>
      <c r="F425" t="s">
        <v>201</v>
      </c>
      <c r="G425" t="s">
        <v>202</v>
      </c>
      <c r="H425" t="s">
        <v>196</v>
      </c>
      <c r="I425" t="s">
        <v>197</v>
      </c>
      <c r="J425" t="s">
        <v>206</v>
      </c>
      <c r="K425">
        <v>613</v>
      </c>
      <c r="L425" s="36">
        <v>43894</v>
      </c>
      <c r="M425">
        <v>48.51</v>
      </c>
      <c r="N425">
        <v>0.48</v>
      </c>
      <c r="O425">
        <f t="shared" si="6"/>
        <v>48.989999999999995</v>
      </c>
    </row>
    <row r="426" spans="1:15" hidden="1">
      <c r="A426" t="s">
        <v>1068</v>
      </c>
      <c r="B426" t="s">
        <v>1069</v>
      </c>
      <c r="C426" t="s">
        <v>211</v>
      </c>
      <c r="D426" t="s">
        <v>192</v>
      </c>
      <c r="E426" t="s">
        <v>193</v>
      </c>
      <c r="F426" t="s">
        <v>201</v>
      </c>
      <c r="G426" t="s">
        <v>202</v>
      </c>
      <c r="H426" t="s">
        <v>196</v>
      </c>
      <c r="I426" t="s">
        <v>197</v>
      </c>
      <c r="J426" t="s">
        <v>213</v>
      </c>
      <c r="K426">
        <v>0</v>
      </c>
      <c r="L426" s="36">
        <v>43514</v>
      </c>
      <c r="M426">
        <v>0</v>
      </c>
      <c r="N426">
        <v>0</v>
      </c>
      <c r="O426">
        <f t="shared" si="6"/>
        <v>0</v>
      </c>
    </row>
    <row r="427" spans="1:15" hidden="1">
      <c r="A427" t="s">
        <v>1070</v>
      </c>
      <c r="B427" t="s">
        <v>1071</v>
      </c>
      <c r="C427" t="s">
        <v>211</v>
      </c>
      <c r="D427" t="s">
        <v>192</v>
      </c>
      <c r="E427" t="s">
        <v>193</v>
      </c>
      <c r="F427" t="s">
        <v>201</v>
      </c>
      <c r="G427" t="s">
        <v>202</v>
      </c>
      <c r="H427" t="s">
        <v>196</v>
      </c>
      <c r="I427" t="s">
        <v>197</v>
      </c>
      <c r="J427" t="s">
        <v>213</v>
      </c>
      <c r="K427">
        <v>0</v>
      </c>
      <c r="L427" s="36">
        <v>43514</v>
      </c>
      <c r="M427">
        <v>0</v>
      </c>
      <c r="N427">
        <v>0</v>
      </c>
      <c r="O427">
        <f t="shared" si="6"/>
        <v>0</v>
      </c>
    </row>
    <row r="428" spans="1:15" hidden="1">
      <c r="A428" t="s">
        <v>1072</v>
      </c>
      <c r="B428" t="s">
        <v>1073</v>
      </c>
      <c r="C428" t="s">
        <v>211</v>
      </c>
      <c r="D428" t="s">
        <v>192</v>
      </c>
      <c r="E428" t="s">
        <v>193</v>
      </c>
      <c r="F428" t="s">
        <v>201</v>
      </c>
      <c r="G428" t="s">
        <v>202</v>
      </c>
      <c r="H428" t="s">
        <v>196</v>
      </c>
      <c r="I428" t="s">
        <v>197</v>
      </c>
      <c r="J428" t="s">
        <v>213</v>
      </c>
      <c r="K428">
        <v>0</v>
      </c>
      <c r="L428" s="36">
        <v>43514</v>
      </c>
      <c r="M428">
        <v>0</v>
      </c>
      <c r="N428">
        <v>0</v>
      </c>
      <c r="O428">
        <f t="shared" si="6"/>
        <v>0</v>
      </c>
    </row>
    <row r="429" spans="1:15" hidden="1">
      <c r="A429" t="s">
        <v>1074</v>
      </c>
      <c r="B429" t="s">
        <v>1075</v>
      </c>
      <c r="C429" t="s">
        <v>232</v>
      </c>
      <c r="D429" t="s">
        <v>192</v>
      </c>
      <c r="E429" t="s">
        <v>193</v>
      </c>
      <c r="F429" t="s">
        <v>414</v>
      </c>
      <c r="G429" t="s">
        <v>163</v>
      </c>
      <c r="H429" t="s">
        <v>196</v>
      </c>
      <c r="I429" t="s">
        <v>197</v>
      </c>
      <c r="J429" t="s">
        <v>972</v>
      </c>
      <c r="K429">
        <v>20.25</v>
      </c>
      <c r="L429" s="36">
        <v>43794</v>
      </c>
      <c r="M429">
        <v>0.06</v>
      </c>
      <c r="N429">
        <v>3.85</v>
      </c>
      <c r="O429">
        <f t="shared" si="6"/>
        <v>3.91</v>
      </c>
    </row>
    <row r="430" spans="1:15" hidden="1">
      <c r="A430" t="s">
        <v>1076</v>
      </c>
      <c r="B430" t="s">
        <v>1077</v>
      </c>
      <c r="C430" t="s">
        <v>232</v>
      </c>
      <c r="D430" t="s">
        <v>192</v>
      </c>
      <c r="E430" t="s">
        <v>193</v>
      </c>
      <c r="F430" t="s">
        <v>414</v>
      </c>
      <c r="G430" t="s">
        <v>163</v>
      </c>
      <c r="H430" t="s">
        <v>196</v>
      </c>
      <c r="I430" t="s">
        <v>197</v>
      </c>
      <c r="J430" t="s">
        <v>680</v>
      </c>
      <c r="K430">
        <v>24.32</v>
      </c>
      <c r="L430" s="36">
        <v>43883</v>
      </c>
      <c r="M430">
        <v>0.55000000000000004</v>
      </c>
      <c r="N430">
        <v>5.3</v>
      </c>
      <c r="O430">
        <f t="shared" si="6"/>
        <v>5.85</v>
      </c>
    </row>
    <row r="431" spans="1:15" hidden="1">
      <c r="A431" t="s">
        <v>1078</v>
      </c>
      <c r="B431" t="s">
        <v>1079</v>
      </c>
      <c r="C431" t="s">
        <v>232</v>
      </c>
      <c r="D431" t="s">
        <v>192</v>
      </c>
      <c r="E431" t="s">
        <v>193</v>
      </c>
      <c r="F431" t="s">
        <v>414</v>
      </c>
      <c r="G431" t="s">
        <v>163</v>
      </c>
      <c r="H431" t="s">
        <v>196</v>
      </c>
      <c r="I431" t="s">
        <v>197</v>
      </c>
      <c r="J431" t="s">
        <v>1080</v>
      </c>
      <c r="K431">
        <v>96</v>
      </c>
      <c r="L431" s="36">
        <v>43877</v>
      </c>
      <c r="M431">
        <v>0.02</v>
      </c>
      <c r="N431">
        <v>3.79</v>
      </c>
      <c r="O431">
        <f t="shared" si="6"/>
        <v>3.81</v>
      </c>
    </row>
    <row r="432" spans="1:15" hidden="1">
      <c r="A432" t="s">
        <v>1081</v>
      </c>
      <c r="B432" t="s">
        <v>1082</v>
      </c>
      <c r="C432" t="s">
        <v>232</v>
      </c>
      <c r="D432" t="s">
        <v>192</v>
      </c>
      <c r="E432" t="s">
        <v>193</v>
      </c>
      <c r="F432" t="s">
        <v>414</v>
      </c>
      <c r="G432" t="s">
        <v>163</v>
      </c>
      <c r="H432" t="s">
        <v>196</v>
      </c>
      <c r="I432" t="s">
        <v>197</v>
      </c>
      <c r="J432" t="s">
        <v>680</v>
      </c>
      <c r="K432">
        <v>23.6</v>
      </c>
      <c r="L432" s="36">
        <v>43883</v>
      </c>
      <c r="M432">
        <v>0.01</v>
      </c>
      <c r="N432">
        <v>5.91</v>
      </c>
      <c r="O432">
        <f t="shared" si="6"/>
        <v>5.92</v>
      </c>
    </row>
    <row r="433" spans="1:15" hidden="1">
      <c r="A433" t="s">
        <v>1083</v>
      </c>
      <c r="B433" t="s">
        <v>1084</v>
      </c>
      <c r="C433" t="s">
        <v>191</v>
      </c>
      <c r="D433" t="s">
        <v>192</v>
      </c>
      <c r="E433" t="s">
        <v>193</v>
      </c>
      <c r="F433" t="s">
        <v>201</v>
      </c>
      <c r="G433" t="s">
        <v>202</v>
      </c>
      <c r="H433" t="s">
        <v>196</v>
      </c>
      <c r="I433" t="s">
        <v>197</v>
      </c>
      <c r="J433" t="s">
        <v>206</v>
      </c>
      <c r="K433">
        <v>218</v>
      </c>
      <c r="L433" s="36">
        <v>43894</v>
      </c>
      <c r="M433">
        <v>10.42</v>
      </c>
      <c r="N433">
        <v>4.72</v>
      </c>
      <c r="O433">
        <f t="shared" si="6"/>
        <v>15.14</v>
      </c>
    </row>
    <row r="434" spans="1:15" hidden="1">
      <c r="A434" t="s">
        <v>1085</v>
      </c>
      <c r="B434" t="s">
        <v>1086</v>
      </c>
      <c r="C434" t="s">
        <v>211</v>
      </c>
      <c r="D434" t="s">
        <v>192</v>
      </c>
      <c r="E434" t="s">
        <v>193</v>
      </c>
      <c r="F434" t="s">
        <v>201</v>
      </c>
      <c r="G434" t="s">
        <v>202</v>
      </c>
      <c r="H434" t="s">
        <v>196</v>
      </c>
      <c r="I434" t="s">
        <v>197</v>
      </c>
      <c r="J434" t="s">
        <v>213</v>
      </c>
      <c r="K434">
        <v>0</v>
      </c>
      <c r="L434" s="36">
        <v>43514</v>
      </c>
      <c r="M434">
        <v>0</v>
      </c>
      <c r="N434">
        <v>0</v>
      </c>
      <c r="O434">
        <f t="shared" si="6"/>
        <v>0</v>
      </c>
    </row>
    <row r="435" spans="1:15" hidden="1">
      <c r="A435" t="s">
        <v>1087</v>
      </c>
      <c r="B435" t="s">
        <v>1088</v>
      </c>
      <c r="C435" t="s">
        <v>232</v>
      </c>
      <c r="D435" t="s">
        <v>192</v>
      </c>
      <c r="E435" t="s">
        <v>193</v>
      </c>
      <c r="F435" t="s">
        <v>414</v>
      </c>
      <c r="G435" t="s">
        <v>163</v>
      </c>
      <c r="H435" t="s">
        <v>196</v>
      </c>
      <c r="I435" t="s">
        <v>197</v>
      </c>
      <c r="J435" t="s">
        <v>1080</v>
      </c>
      <c r="K435">
        <v>125</v>
      </c>
      <c r="L435" s="36">
        <v>43877</v>
      </c>
      <c r="M435">
        <v>0.04</v>
      </c>
      <c r="N435">
        <v>6.5</v>
      </c>
      <c r="O435">
        <f t="shared" si="6"/>
        <v>6.54</v>
      </c>
    </row>
    <row r="436" spans="1:15" hidden="1">
      <c r="A436" t="s">
        <v>1089</v>
      </c>
      <c r="B436" t="s">
        <v>1090</v>
      </c>
      <c r="C436" t="s">
        <v>232</v>
      </c>
      <c r="D436" t="s">
        <v>192</v>
      </c>
      <c r="E436" t="s">
        <v>193</v>
      </c>
      <c r="F436" t="s">
        <v>414</v>
      </c>
      <c r="G436" t="s">
        <v>163</v>
      </c>
      <c r="H436" t="s">
        <v>196</v>
      </c>
      <c r="I436" t="s">
        <v>197</v>
      </c>
      <c r="J436" t="s">
        <v>972</v>
      </c>
      <c r="K436">
        <v>16.34</v>
      </c>
      <c r="L436" s="36">
        <v>43797</v>
      </c>
      <c r="M436">
        <v>0.01</v>
      </c>
      <c r="N436">
        <v>3.57</v>
      </c>
      <c r="O436">
        <f t="shared" si="6"/>
        <v>3.5799999999999996</v>
      </c>
    </row>
    <row r="437" spans="1:15" hidden="1">
      <c r="A437" t="s">
        <v>1091</v>
      </c>
      <c r="B437" t="s">
        <v>1092</v>
      </c>
      <c r="C437" t="s">
        <v>211</v>
      </c>
      <c r="D437" t="s">
        <v>192</v>
      </c>
      <c r="E437" t="s">
        <v>193</v>
      </c>
      <c r="F437" t="s">
        <v>201</v>
      </c>
      <c r="G437" t="s">
        <v>202</v>
      </c>
      <c r="H437" t="s">
        <v>196</v>
      </c>
      <c r="I437" t="s">
        <v>197</v>
      </c>
      <c r="J437" t="s">
        <v>213</v>
      </c>
      <c r="K437">
        <v>0</v>
      </c>
      <c r="L437" s="36">
        <v>43514</v>
      </c>
      <c r="M437">
        <v>0</v>
      </c>
      <c r="N437">
        <v>0</v>
      </c>
      <c r="O437">
        <f t="shared" si="6"/>
        <v>0</v>
      </c>
    </row>
    <row r="438" spans="1:15" hidden="1">
      <c r="A438" t="s">
        <v>1093</v>
      </c>
      <c r="B438" t="s">
        <v>1094</v>
      </c>
      <c r="C438" t="s">
        <v>211</v>
      </c>
      <c r="D438" t="s">
        <v>192</v>
      </c>
      <c r="E438" t="s">
        <v>193</v>
      </c>
      <c r="F438" t="s">
        <v>201</v>
      </c>
      <c r="G438" t="s">
        <v>212</v>
      </c>
      <c r="H438" t="s">
        <v>196</v>
      </c>
      <c r="I438" t="s">
        <v>197</v>
      </c>
      <c r="J438" t="s">
        <v>213</v>
      </c>
      <c r="K438">
        <v>0</v>
      </c>
      <c r="L438" s="36">
        <v>43826</v>
      </c>
      <c r="M438">
        <v>0</v>
      </c>
      <c r="N438">
        <v>0</v>
      </c>
      <c r="O438">
        <f t="shared" si="6"/>
        <v>0</v>
      </c>
    </row>
    <row r="439" spans="1:15" hidden="1">
      <c r="A439" t="s">
        <v>1095</v>
      </c>
      <c r="B439" t="s">
        <v>1096</v>
      </c>
      <c r="C439" t="s">
        <v>232</v>
      </c>
      <c r="D439" t="s">
        <v>192</v>
      </c>
      <c r="E439" t="s">
        <v>193</v>
      </c>
      <c r="F439" t="s">
        <v>414</v>
      </c>
      <c r="G439" t="s">
        <v>163</v>
      </c>
      <c r="H439" t="s">
        <v>196</v>
      </c>
      <c r="I439" t="s">
        <v>197</v>
      </c>
      <c r="J439" t="s">
        <v>972</v>
      </c>
      <c r="K439">
        <v>373.6</v>
      </c>
      <c r="L439" s="36">
        <v>43890</v>
      </c>
      <c r="M439">
        <v>0.03</v>
      </c>
      <c r="N439">
        <v>5.37</v>
      </c>
      <c r="O439">
        <f t="shared" si="6"/>
        <v>5.4</v>
      </c>
    </row>
    <row r="440" spans="1:15" hidden="1">
      <c r="A440" t="s">
        <v>1097</v>
      </c>
      <c r="B440" t="s">
        <v>1098</v>
      </c>
      <c r="C440" t="s">
        <v>191</v>
      </c>
      <c r="D440" t="s">
        <v>192</v>
      </c>
      <c r="E440" t="s">
        <v>193</v>
      </c>
      <c r="F440" t="s">
        <v>201</v>
      </c>
      <c r="G440" t="s">
        <v>233</v>
      </c>
      <c r="H440" t="s">
        <v>196</v>
      </c>
      <c r="I440" t="s">
        <v>197</v>
      </c>
      <c r="J440" t="s">
        <v>234</v>
      </c>
      <c r="K440">
        <v>15768.56</v>
      </c>
      <c r="L440" s="36">
        <v>43908</v>
      </c>
      <c r="M440">
        <v>1.62</v>
      </c>
      <c r="N440">
        <v>4.12</v>
      </c>
      <c r="O440">
        <f t="shared" si="6"/>
        <v>5.74</v>
      </c>
    </row>
    <row r="441" spans="1:15" hidden="1">
      <c r="A441" t="s">
        <v>1099</v>
      </c>
      <c r="B441" t="s">
        <v>1100</v>
      </c>
      <c r="C441" t="s">
        <v>232</v>
      </c>
      <c r="D441" t="s">
        <v>192</v>
      </c>
      <c r="E441" t="s">
        <v>193</v>
      </c>
      <c r="F441" t="s">
        <v>414</v>
      </c>
      <c r="G441" t="s">
        <v>163</v>
      </c>
      <c r="H441" t="s">
        <v>196</v>
      </c>
      <c r="I441" t="s">
        <v>197</v>
      </c>
      <c r="J441" t="s">
        <v>1080</v>
      </c>
      <c r="K441">
        <v>102</v>
      </c>
      <c r="L441" s="36">
        <v>43877</v>
      </c>
      <c r="M441">
        <v>0.03</v>
      </c>
      <c r="N441">
        <v>7.6</v>
      </c>
      <c r="O441">
        <f t="shared" si="6"/>
        <v>7.63</v>
      </c>
    </row>
    <row r="442" spans="1:15" hidden="1">
      <c r="A442" t="s">
        <v>1101</v>
      </c>
      <c r="B442" t="s">
        <v>1102</v>
      </c>
      <c r="C442" t="s">
        <v>191</v>
      </c>
      <c r="D442" t="s">
        <v>192</v>
      </c>
      <c r="E442" t="s">
        <v>193</v>
      </c>
      <c r="F442" t="s">
        <v>201</v>
      </c>
      <c r="G442" t="s">
        <v>233</v>
      </c>
      <c r="H442" t="s">
        <v>196</v>
      </c>
      <c r="I442" t="s">
        <v>197</v>
      </c>
      <c r="J442" t="s">
        <v>234</v>
      </c>
      <c r="K442">
        <v>1219.2</v>
      </c>
      <c r="L442" s="36">
        <v>43899</v>
      </c>
      <c r="M442">
        <v>41.27</v>
      </c>
      <c r="N442">
        <v>2.23</v>
      </c>
      <c r="O442">
        <f t="shared" si="6"/>
        <v>43.5</v>
      </c>
    </row>
    <row r="443" spans="1:15" hidden="1">
      <c r="A443" t="s">
        <v>1103</v>
      </c>
      <c r="B443" t="s">
        <v>1104</v>
      </c>
      <c r="C443" t="s">
        <v>191</v>
      </c>
      <c r="D443" t="s">
        <v>192</v>
      </c>
      <c r="E443" t="s">
        <v>193</v>
      </c>
      <c r="F443" t="s">
        <v>201</v>
      </c>
      <c r="G443" t="s">
        <v>202</v>
      </c>
      <c r="H443" t="s">
        <v>196</v>
      </c>
      <c r="I443" t="s">
        <v>197</v>
      </c>
      <c r="J443" t="s">
        <v>206</v>
      </c>
      <c r="K443">
        <v>870</v>
      </c>
      <c r="L443" s="36">
        <v>43904</v>
      </c>
      <c r="M443">
        <v>40.76</v>
      </c>
      <c r="N443">
        <v>12.08</v>
      </c>
      <c r="O443">
        <f t="shared" si="6"/>
        <v>52.839999999999996</v>
      </c>
    </row>
    <row r="444" spans="1:15" hidden="1">
      <c r="A444" t="s">
        <v>1105</v>
      </c>
      <c r="B444" t="s">
        <v>1106</v>
      </c>
      <c r="C444" t="s">
        <v>191</v>
      </c>
      <c r="D444" t="s">
        <v>192</v>
      </c>
      <c r="E444" t="s">
        <v>193</v>
      </c>
      <c r="F444" t="s">
        <v>201</v>
      </c>
      <c r="G444" t="s">
        <v>202</v>
      </c>
      <c r="H444" t="s">
        <v>196</v>
      </c>
      <c r="I444" t="s">
        <v>197</v>
      </c>
      <c r="J444" t="s">
        <v>206</v>
      </c>
      <c r="K444">
        <v>105</v>
      </c>
      <c r="L444" s="36">
        <v>43851</v>
      </c>
      <c r="M444">
        <v>9.6300000000000008</v>
      </c>
      <c r="N444">
        <v>5.2</v>
      </c>
      <c r="O444">
        <f t="shared" si="6"/>
        <v>14.830000000000002</v>
      </c>
    </row>
    <row r="445" spans="1:15" hidden="1">
      <c r="A445" t="s">
        <v>1107</v>
      </c>
      <c r="B445" t="s">
        <v>1108</v>
      </c>
      <c r="C445" t="s">
        <v>232</v>
      </c>
      <c r="D445" t="s">
        <v>192</v>
      </c>
      <c r="E445" t="s">
        <v>193</v>
      </c>
      <c r="F445" t="s">
        <v>194</v>
      </c>
      <c r="G445" t="s">
        <v>326</v>
      </c>
      <c r="H445" t="s">
        <v>196</v>
      </c>
      <c r="I445" t="s">
        <v>197</v>
      </c>
      <c r="J445" t="s">
        <v>326</v>
      </c>
      <c r="K445">
        <v>5</v>
      </c>
      <c r="L445" s="36">
        <v>43905</v>
      </c>
      <c r="M445">
        <v>44.77</v>
      </c>
      <c r="N445">
        <v>8.09</v>
      </c>
      <c r="O445">
        <f t="shared" si="6"/>
        <v>52.86</v>
      </c>
    </row>
    <row r="446" spans="1:15" hidden="1">
      <c r="A446" t="s">
        <v>1109</v>
      </c>
      <c r="B446" t="s">
        <v>1110</v>
      </c>
      <c r="C446" t="s">
        <v>191</v>
      </c>
      <c r="D446" t="s">
        <v>192</v>
      </c>
      <c r="E446" t="s">
        <v>193</v>
      </c>
      <c r="F446" t="s">
        <v>194</v>
      </c>
      <c r="G446" t="s">
        <v>1111</v>
      </c>
      <c r="H446" t="s">
        <v>196</v>
      </c>
      <c r="I446" t="s">
        <v>197</v>
      </c>
      <c r="J446" t="s">
        <v>1111</v>
      </c>
      <c r="K446">
        <v>130</v>
      </c>
      <c r="L446" s="36">
        <v>43894</v>
      </c>
      <c r="M446">
        <v>10.43</v>
      </c>
      <c r="N446">
        <v>5.03</v>
      </c>
      <c r="O446">
        <f t="shared" si="6"/>
        <v>15.46</v>
      </c>
    </row>
    <row r="447" spans="1:15" hidden="1">
      <c r="A447" t="s">
        <v>1112</v>
      </c>
      <c r="B447" t="s">
        <v>1113</v>
      </c>
      <c r="C447" t="s">
        <v>232</v>
      </c>
      <c r="D447" t="s">
        <v>192</v>
      </c>
      <c r="E447" t="s">
        <v>193</v>
      </c>
      <c r="F447" t="s">
        <v>194</v>
      </c>
      <c r="G447" t="s">
        <v>306</v>
      </c>
      <c r="H447" t="s">
        <v>196</v>
      </c>
      <c r="I447" t="s">
        <v>197</v>
      </c>
      <c r="J447" t="s">
        <v>309</v>
      </c>
      <c r="K447">
        <v>5</v>
      </c>
      <c r="L447" s="36">
        <v>43882</v>
      </c>
      <c r="M447">
        <v>25.96</v>
      </c>
      <c r="N447">
        <v>12.77</v>
      </c>
      <c r="O447">
        <f t="shared" si="6"/>
        <v>38.730000000000004</v>
      </c>
    </row>
    <row r="448" spans="1:15" hidden="1">
      <c r="A448" t="s">
        <v>1114</v>
      </c>
      <c r="B448" t="s">
        <v>1115</v>
      </c>
      <c r="C448" t="s">
        <v>211</v>
      </c>
      <c r="D448" t="s">
        <v>192</v>
      </c>
      <c r="E448" t="s">
        <v>193</v>
      </c>
      <c r="F448" t="s">
        <v>194</v>
      </c>
      <c r="G448" t="s">
        <v>326</v>
      </c>
      <c r="H448" t="s">
        <v>196</v>
      </c>
      <c r="I448" t="s">
        <v>197</v>
      </c>
      <c r="J448" t="s">
        <v>301</v>
      </c>
      <c r="K448">
        <v>0</v>
      </c>
      <c r="L448" s="36">
        <v>43874</v>
      </c>
      <c r="M448">
        <v>0</v>
      </c>
      <c r="N448">
        <v>0</v>
      </c>
      <c r="O448">
        <f t="shared" si="6"/>
        <v>0</v>
      </c>
    </row>
    <row r="449" spans="1:15" hidden="1">
      <c r="A449" t="s">
        <v>1116</v>
      </c>
      <c r="B449" t="s">
        <v>1117</v>
      </c>
      <c r="C449" t="s">
        <v>211</v>
      </c>
      <c r="D449" t="s">
        <v>192</v>
      </c>
      <c r="E449" t="s">
        <v>193</v>
      </c>
      <c r="F449" t="s">
        <v>201</v>
      </c>
      <c r="G449" t="s">
        <v>202</v>
      </c>
      <c r="H449" t="s">
        <v>196</v>
      </c>
      <c r="I449" t="s">
        <v>197</v>
      </c>
      <c r="J449" t="s">
        <v>213</v>
      </c>
      <c r="K449">
        <v>0</v>
      </c>
      <c r="L449" s="36">
        <v>43514</v>
      </c>
      <c r="M449">
        <v>0</v>
      </c>
      <c r="N449">
        <v>0</v>
      </c>
      <c r="O449">
        <f t="shared" si="6"/>
        <v>0</v>
      </c>
    </row>
    <row r="450" spans="1:15" hidden="1">
      <c r="A450" t="s">
        <v>1118</v>
      </c>
      <c r="B450" t="s">
        <v>1119</v>
      </c>
      <c r="C450" t="s">
        <v>191</v>
      </c>
      <c r="D450" t="s">
        <v>192</v>
      </c>
      <c r="E450" t="s">
        <v>193</v>
      </c>
      <c r="F450" t="s">
        <v>201</v>
      </c>
      <c r="G450" t="s">
        <v>233</v>
      </c>
      <c r="H450" t="s">
        <v>196</v>
      </c>
      <c r="I450" t="s">
        <v>197</v>
      </c>
      <c r="J450" t="s">
        <v>234</v>
      </c>
      <c r="K450">
        <v>662.5</v>
      </c>
      <c r="L450" s="36">
        <v>43905</v>
      </c>
      <c r="M450">
        <v>23.21</v>
      </c>
      <c r="N450">
        <v>2.76</v>
      </c>
      <c r="O450">
        <f t="shared" si="6"/>
        <v>25.97</v>
      </c>
    </row>
    <row r="451" spans="1:15" hidden="1">
      <c r="A451" t="s">
        <v>1120</v>
      </c>
      <c r="B451" t="s">
        <v>1121</v>
      </c>
      <c r="C451" t="s">
        <v>191</v>
      </c>
      <c r="D451" t="s">
        <v>192</v>
      </c>
      <c r="E451" t="s">
        <v>193</v>
      </c>
      <c r="F451" t="s">
        <v>201</v>
      </c>
      <c r="G451" t="s">
        <v>202</v>
      </c>
      <c r="H451" t="s">
        <v>196</v>
      </c>
      <c r="I451" t="s">
        <v>197</v>
      </c>
      <c r="J451" t="s">
        <v>206</v>
      </c>
      <c r="K451">
        <v>488</v>
      </c>
      <c r="L451" s="36">
        <v>43897</v>
      </c>
      <c r="M451">
        <v>8.59</v>
      </c>
      <c r="N451">
        <v>6.54</v>
      </c>
      <c r="O451">
        <f t="shared" ref="O451:O483" si="7">M451+N451</f>
        <v>15.129999999999999</v>
      </c>
    </row>
    <row r="452" spans="1:15" hidden="1">
      <c r="A452" t="s">
        <v>1122</v>
      </c>
      <c r="B452" t="s">
        <v>1123</v>
      </c>
      <c r="C452" t="s">
        <v>191</v>
      </c>
      <c r="D452" t="s">
        <v>192</v>
      </c>
      <c r="E452" t="s">
        <v>193</v>
      </c>
      <c r="F452" t="s">
        <v>201</v>
      </c>
      <c r="G452" t="s">
        <v>202</v>
      </c>
      <c r="H452" t="s">
        <v>196</v>
      </c>
      <c r="I452" t="s">
        <v>197</v>
      </c>
      <c r="J452" t="s">
        <v>206</v>
      </c>
      <c r="K452">
        <v>139</v>
      </c>
      <c r="L452" s="36">
        <v>43868</v>
      </c>
      <c r="M452">
        <v>53.9</v>
      </c>
      <c r="N452">
        <v>14.8</v>
      </c>
      <c r="O452">
        <f t="shared" si="7"/>
        <v>68.7</v>
      </c>
    </row>
    <row r="453" spans="1:15" hidden="1">
      <c r="A453" t="s">
        <v>1124</v>
      </c>
      <c r="B453" t="s">
        <v>1125</v>
      </c>
      <c r="C453" t="s">
        <v>191</v>
      </c>
      <c r="D453" t="s">
        <v>192</v>
      </c>
      <c r="E453" t="s">
        <v>193</v>
      </c>
      <c r="F453" t="s">
        <v>201</v>
      </c>
      <c r="G453" t="s">
        <v>202</v>
      </c>
      <c r="H453" t="s">
        <v>196</v>
      </c>
      <c r="I453" t="s">
        <v>197</v>
      </c>
      <c r="J453" t="s">
        <v>206</v>
      </c>
      <c r="K453">
        <v>319</v>
      </c>
      <c r="L453" s="36">
        <v>43897</v>
      </c>
      <c r="M453">
        <v>5.95</v>
      </c>
      <c r="N453">
        <v>3.6</v>
      </c>
      <c r="O453">
        <f t="shared" si="7"/>
        <v>9.5500000000000007</v>
      </c>
    </row>
    <row r="454" spans="1:15" hidden="1">
      <c r="A454" t="s">
        <v>1126</v>
      </c>
      <c r="B454" t="s">
        <v>1127</v>
      </c>
      <c r="C454" t="s">
        <v>191</v>
      </c>
      <c r="D454" t="s">
        <v>192</v>
      </c>
      <c r="E454" t="s">
        <v>193</v>
      </c>
      <c r="F454" t="s">
        <v>194</v>
      </c>
      <c r="G454" t="s">
        <v>1111</v>
      </c>
      <c r="H454" t="s">
        <v>196</v>
      </c>
      <c r="I454" t="s">
        <v>197</v>
      </c>
      <c r="J454" t="s">
        <v>1111</v>
      </c>
      <c r="K454">
        <v>300</v>
      </c>
      <c r="L454" s="36">
        <v>43852</v>
      </c>
      <c r="M454">
        <v>6.83</v>
      </c>
      <c r="N454">
        <v>6.3</v>
      </c>
      <c r="O454">
        <f t="shared" si="7"/>
        <v>13.129999999999999</v>
      </c>
    </row>
    <row r="455" spans="1:15" hidden="1">
      <c r="A455" t="s">
        <v>1128</v>
      </c>
      <c r="B455" t="s">
        <v>1129</v>
      </c>
      <c r="C455" t="s">
        <v>232</v>
      </c>
      <c r="D455" t="s">
        <v>192</v>
      </c>
      <c r="E455" t="s">
        <v>193</v>
      </c>
      <c r="F455" t="s">
        <v>194</v>
      </c>
      <c r="G455" t="s">
        <v>536</v>
      </c>
      <c r="H455" t="s">
        <v>196</v>
      </c>
      <c r="I455" t="s">
        <v>197</v>
      </c>
      <c r="J455" t="s">
        <v>537</v>
      </c>
      <c r="K455">
        <v>550</v>
      </c>
      <c r="L455" s="36">
        <v>43909</v>
      </c>
      <c r="M455">
        <v>6.8</v>
      </c>
      <c r="N455">
        <v>3.5</v>
      </c>
      <c r="O455">
        <f t="shared" si="7"/>
        <v>10.3</v>
      </c>
    </row>
    <row r="456" spans="1:15" hidden="1">
      <c r="A456" t="s">
        <v>1130</v>
      </c>
      <c r="B456" t="s">
        <v>1131</v>
      </c>
      <c r="C456" t="s">
        <v>232</v>
      </c>
      <c r="D456" t="s">
        <v>192</v>
      </c>
      <c r="E456" t="s">
        <v>193</v>
      </c>
      <c r="F456" t="s">
        <v>194</v>
      </c>
      <c r="G456" t="s">
        <v>306</v>
      </c>
      <c r="H456" t="s">
        <v>196</v>
      </c>
      <c r="I456" t="s">
        <v>197</v>
      </c>
      <c r="J456" t="s">
        <v>309</v>
      </c>
      <c r="K456">
        <v>10</v>
      </c>
      <c r="L456" s="36">
        <v>43885</v>
      </c>
      <c r="M456">
        <v>44.08</v>
      </c>
      <c r="N456">
        <v>5.55</v>
      </c>
      <c r="O456">
        <f t="shared" si="7"/>
        <v>49.629999999999995</v>
      </c>
    </row>
    <row r="457" spans="1:15" hidden="1">
      <c r="A457" t="s">
        <v>1132</v>
      </c>
      <c r="B457" t="s">
        <v>1133</v>
      </c>
      <c r="C457" t="s">
        <v>191</v>
      </c>
      <c r="D457" t="s">
        <v>192</v>
      </c>
      <c r="E457" t="s">
        <v>193</v>
      </c>
      <c r="F457" t="s">
        <v>194</v>
      </c>
      <c r="G457" t="s">
        <v>536</v>
      </c>
      <c r="H457" t="s">
        <v>196</v>
      </c>
      <c r="I457" t="s">
        <v>197</v>
      </c>
      <c r="J457" t="s">
        <v>537</v>
      </c>
      <c r="K457">
        <v>160</v>
      </c>
      <c r="L457" s="36">
        <v>43879</v>
      </c>
      <c r="M457">
        <v>15.76</v>
      </c>
      <c r="N457">
        <v>3.14</v>
      </c>
      <c r="O457">
        <f t="shared" si="7"/>
        <v>18.899999999999999</v>
      </c>
    </row>
    <row r="458" spans="1:15">
      <c r="A458" t="s">
        <v>1134</v>
      </c>
      <c r="B458" t="s">
        <v>1135</v>
      </c>
      <c r="C458" t="s">
        <v>191</v>
      </c>
      <c r="D458" t="s">
        <v>192</v>
      </c>
      <c r="E458" t="s">
        <v>193</v>
      </c>
      <c r="F458" t="s">
        <v>201</v>
      </c>
      <c r="G458" t="s">
        <v>202</v>
      </c>
      <c r="H458" t="s">
        <v>196</v>
      </c>
      <c r="I458" t="s">
        <v>197</v>
      </c>
      <c r="J458" t="s">
        <v>206</v>
      </c>
      <c r="K458">
        <v>17.399999999999999</v>
      </c>
      <c r="L458" s="36">
        <v>43907</v>
      </c>
      <c r="M458">
        <v>49.31</v>
      </c>
      <c r="N458">
        <v>7.79</v>
      </c>
      <c r="O458">
        <f t="shared" si="7"/>
        <v>57.1</v>
      </c>
    </row>
    <row r="459" spans="1:15" hidden="1">
      <c r="A459" t="s">
        <v>1136</v>
      </c>
      <c r="B459" t="s">
        <v>1137</v>
      </c>
      <c r="C459" t="s">
        <v>269</v>
      </c>
      <c r="D459" t="s">
        <v>192</v>
      </c>
      <c r="E459" t="s">
        <v>193</v>
      </c>
      <c r="F459" t="s">
        <v>201</v>
      </c>
      <c r="G459" t="s">
        <v>202</v>
      </c>
      <c r="H459" t="s">
        <v>196</v>
      </c>
      <c r="I459" t="s">
        <v>197</v>
      </c>
      <c r="J459" t="s">
        <v>206</v>
      </c>
      <c r="K459">
        <v>49</v>
      </c>
      <c r="L459" s="36">
        <v>43904</v>
      </c>
      <c r="M459">
        <v>84.86</v>
      </c>
      <c r="N459">
        <v>3.39</v>
      </c>
      <c r="O459">
        <f t="shared" si="7"/>
        <v>88.25</v>
      </c>
    </row>
    <row r="460" spans="1:15" hidden="1">
      <c r="A460" t="s">
        <v>1138</v>
      </c>
      <c r="B460" t="s">
        <v>1139</v>
      </c>
      <c r="C460" t="s">
        <v>191</v>
      </c>
      <c r="D460" t="s">
        <v>192</v>
      </c>
      <c r="E460" t="s">
        <v>193</v>
      </c>
      <c r="F460" t="s">
        <v>201</v>
      </c>
      <c r="G460" t="s">
        <v>202</v>
      </c>
      <c r="H460" t="s">
        <v>196</v>
      </c>
      <c r="I460" t="s">
        <v>197</v>
      </c>
      <c r="J460" t="s">
        <v>206</v>
      </c>
      <c r="K460">
        <v>110</v>
      </c>
      <c r="L460" s="36">
        <v>43897</v>
      </c>
      <c r="M460">
        <v>2.44</v>
      </c>
      <c r="N460">
        <v>3.62</v>
      </c>
      <c r="O460">
        <f t="shared" si="7"/>
        <v>6.0600000000000005</v>
      </c>
    </row>
    <row r="461" spans="1:15" hidden="1">
      <c r="A461" t="s">
        <v>1140</v>
      </c>
      <c r="B461" t="s">
        <v>1141</v>
      </c>
      <c r="C461" t="s">
        <v>191</v>
      </c>
      <c r="D461" t="s">
        <v>192</v>
      </c>
      <c r="E461" t="s">
        <v>193</v>
      </c>
      <c r="F461" t="s">
        <v>201</v>
      </c>
      <c r="G461" t="s">
        <v>202</v>
      </c>
      <c r="H461" t="s">
        <v>196</v>
      </c>
      <c r="I461" t="s">
        <v>197</v>
      </c>
      <c r="J461" t="s">
        <v>206</v>
      </c>
      <c r="K461">
        <v>148</v>
      </c>
      <c r="L461" s="36">
        <v>43881</v>
      </c>
      <c r="M461">
        <v>4.01</v>
      </c>
      <c r="N461">
        <v>6.62</v>
      </c>
      <c r="O461">
        <f t="shared" si="7"/>
        <v>10.629999999999999</v>
      </c>
    </row>
    <row r="462" spans="1:15" hidden="1">
      <c r="A462" t="s">
        <v>1142</v>
      </c>
      <c r="B462" t="s">
        <v>1143</v>
      </c>
      <c r="C462" t="s">
        <v>191</v>
      </c>
      <c r="D462" t="s">
        <v>192</v>
      </c>
      <c r="E462" t="s">
        <v>193</v>
      </c>
      <c r="F462" t="s">
        <v>201</v>
      </c>
      <c r="G462" t="s">
        <v>202</v>
      </c>
      <c r="H462" t="s">
        <v>196</v>
      </c>
      <c r="I462" t="s">
        <v>197</v>
      </c>
      <c r="J462" t="s">
        <v>206</v>
      </c>
      <c r="K462">
        <v>154</v>
      </c>
      <c r="L462" s="36">
        <v>43908</v>
      </c>
      <c r="M462">
        <v>10.45</v>
      </c>
      <c r="N462">
        <v>2.62</v>
      </c>
      <c r="O462">
        <f t="shared" si="7"/>
        <v>13.07</v>
      </c>
    </row>
    <row r="463" spans="1:15" hidden="1">
      <c r="A463" t="s">
        <v>1144</v>
      </c>
      <c r="B463" t="s">
        <v>1145</v>
      </c>
      <c r="C463" t="s">
        <v>211</v>
      </c>
      <c r="D463" t="s">
        <v>192</v>
      </c>
      <c r="E463" t="s">
        <v>193</v>
      </c>
      <c r="F463" t="s">
        <v>201</v>
      </c>
      <c r="G463" t="s">
        <v>202</v>
      </c>
      <c r="H463" t="s">
        <v>196</v>
      </c>
      <c r="I463" t="s">
        <v>197</v>
      </c>
      <c r="J463" t="s">
        <v>213</v>
      </c>
      <c r="K463">
        <v>0</v>
      </c>
      <c r="L463" s="36">
        <v>43826</v>
      </c>
      <c r="M463">
        <v>0</v>
      </c>
      <c r="N463">
        <v>0</v>
      </c>
      <c r="O463">
        <f t="shared" si="7"/>
        <v>0</v>
      </c>
    </row>
    <row r="464" spans="1:15" hidden="1">
      <c r="A464" t="s">
        <v>1146</v>
      </c>
      <c r="B464" t="s">
        <v>1147</v>
      </c>
      <c r="C464" t="s">
        <v>191</v>
      </c>
      <c r="D464" t="s">
        <v>192</v>
      </c>
      <c r="E464" t="s">
        <v>193</v>
      </c>
      <c r="F464" t="s">
        <v>201</v>
      </c>
      <c r="G464" t="s">
        <v>202</v>
      </c>
      <c r="H464" t="s">
        <v>196</v>
      </c>
      <c r="I464" t="s">
        <v>197</v>
      </c>
      <c r="J464" t="s">
        <v>206</v>
      </c>
      <c r="K464">
        <v>192</v>
      </c>
      <c r="L464" s="36">
        <v>43881</v>
      </c>
      <c r="M464">
        <v>2.83</v>
      </c>
      <c r="N464">
        <v>8.07</v>
      </c>
      <c r="O464">
        <f t="shared" si="7"/>
        <v>10.9</v>
      </c>
    </row>
    <row r="465" spans="1:15" hidden="1">
      <c r="A465" t="s">
        <v>1148</v>
      </c>
      <c r="B465" t="s">
        <v>1149</v>
      </c>
      <c r="C465" t="s">
        <v>211</v>
      </c>
      <c r="D465" t="s">
        <v>192</v>
      </c>
      <c r="E465" t="s">
        <v>193</v>
      </c>
      <c r="F465" t="s">
        <v>201</v>
      </c>
      <c r="G465" t="s">
        <v>202</v>
      </c>
      <c r="H465" t="s">
        <v>196</v>
      </c>
      <c r="I465" t="s">
        <v>197</v>
      </c>
      <c r="J465" t="s">
        <v>213</v>
      </c>
      <c r="K465">
        <v>0</v>
      </c>
      <c r="L465" s="36">
        <v>43826</v>
      </c>
      <c r="M465">
        <v>0</v>
      </c>
      <c r="N465">
        <v>0</v>
      </c>
      <c r="O465">
        <f t="shared" si="7"/>
        <v>0</v>
      </c>
    </row>
    <row r="466" spans="1:15" hidden="1">
      <c r="A466" t="s">
        <v>1150</v>
      </c>
      <c r="B466" t="s">
        <v>1151</v>
      </c>
      <c r="C466" t="s">
        <v>191</v>
      </c>
      <c r="D466" t="s">
        <v>192</v>
      </c>
      <c r="E466" t="s">
        <v>193</v>
      </c>
      <c r="F466" t="s">
        <v>194</v>
      </c>
      <c r="G466" t="s">
        <v>536</v>
      </c>
      <c r="H466" t="s">
        <v>196</v>
      </c>
      <c r="I466" t="s">
        <v>197</v>
      </c>
      <c r="J466" t="s">
        <v>537</v>
      </c>
      <c r="K466">
        <v>421</v>
      </c>
      <c r="L466" s="36">
        <v>43909</v>
      </c>
      <c r="M466">
        <v>0.25</v>
      </c>
      <c r="N466">
        <v>3.85</v>
      </c>
      <c r="O466">
        <f t="shared" si="7"/>
        <v>4.0999999999999996</v>
      </c>
    </row>
    <row r="467" spans="1:15" hidden="1">
      <c r="A467" t="s">
        <v>1152</v>
      </c>
      <c r="B467" t="s">
        <v>1153</v>
      </c>
      <c r="C467" t="s">
        <v>191</v>
      </c>
      <c r="D467" t="s">
        <v>192</v>
      </c>
      <c r="E467" t="s">
        <v>193</v>
      </c>
      <c r="F467" t="s">
        <v>194</v>
      </c>
      <c r="G467" t="s">
        <v>536</v>
      </c>
      <c r="H467" t="s">
        <v>196</v>
      </c>
      <c r="I467" t="s">
        <v>197</v>
      </c>
      <c r="J467" t="s">
        <v>537</v>
      </c>
      <c r="K467">
        <v>100</v>
      </c>
      <c r="L467" s="36">
        <v>43906</v>
      </c>
      <c r="M467">
        <v>0.37</v>
      </c>
      <c r="N467">
        <v>1.67</v>
      </c>
      <c r="O467">
        <f t="shared" si="7"/>
        <v>2.04</v>
      </c>
    </row>
    <row r="468" spans="1:15" hidden="1">
      <c r="A468" t="s">
        <v>1154</v>
      </c>
      <c r="B468" t="s">
        <v>1155</v>
      </c>
      <c r="C468" t="s">
        <v>211</v>
      </c>
      <c r="D468" t="s">
        <v>192</v>
      </c>
      <c r="E468" t="s">
        <v>193</v>
      </c>
      <c r="F468" t="s">
        <v>201</v>
      </c>
      <c r="G468" t="s">
        <v>202</v>
      </c>
      <c r="H468" t="s">
        <v>196</v>
      </c>
      <c r="I468" t="s">
        <v>197</v>
      </c>
      <c r="J468" t="s">
        <v>213</v>
      </c>
      <c r="K468">
        <v>0</v>
      </c>
      <c r="L468" s="36">
        <v>43826</v>
      </c>
      <c r="M468">
        <v>0</v>
      </c>
      <c r="N468">
        <v>0</v>
      </c>
      <c r="O468">
        <f t="shared" si="7"/>
        <v>0</v>
      </c>
    </row>
    <row r="469" spans="1:15" hidden="1">
      <c r="A469" t="s">
        <v>1156</v>
      </c>
      <c r="B469" t="s">
        <v>1157</v>
      </c>
      <c r="C469" t="s">
        <v>211</v>
      </c>
      <c r="D469" t="s">
        <v>192</v>
      </c>
      <c r="E469" t="s">
        <v>193</v>
      </c>
      <c r="F469" t="s">
        <v>201</v>
      </c>
      <c r="G469" t="s">
        <v>212</v>
      </c>
      <c r="H469" t="s">
        <v>196</v>
      </c>
      <c r="I469" t="s">
        <v>197</v>
      </c>
      <c r="J469" t="s">
        <v>213</v>
      </c>
      <c r="K469">
        <v>0</v>
      </c>
      <c r="L469" s="36">
        <v>43826</v>
      </c>
      <c r="M469">
        <v>0</v>
      </c>
      <c r="N469">
        <v>0</v>
      </c>
      <c r="O469">
        <f t="shared" si="7"/>
        <v>0</v>
      </c>
    </row>
    <row r="470" spans="1:15" hidden="1">
      <c r="A470" t="s">
        <v>1158</v>
      </c>
      <c r="B470" t="s">
        <v>1159</v>
      </c>
      <c r="C470" t="s">
        <v>211</v>
      </c>
      <c r="D470" t="s">
        <v>192</v>
      </c>
      <c r="E470" t="s">
        <v>193</v>
      </c>
      <c r="F470" t="s">
        <v>201</v>
      </c>
      <c r="G470" t="s">
        <v>202</v>
      </c>
      <c r="H470" t="s">
        <v>196</v>
      </c>
      <c r="I470" t="s">
        <v>197</v>
      </c>
      <c r="J470" t="s">
        <v>213</v>
      </c>
      <c r="K470">
        <v>0</v>
      </c>
      <c r="L470" s="36">
        <v>43826</v>
      </c>
      <c r="M470">
        <v>0</v>
      </c>
      <c r="N470">
        <v>0</v>
      </c>
      <c r="O470">
        <f t="shared" si="7"/>
        <v>0</v>
      </c>
    </row>
    <row r="471" spans="1:15" hidden="1">
      <c r="A471" t="s">
        <v>1160</v>
      </c>
      <c r="B471" t="s">
        <v>1161</v>
      </c>
      <c r="C471" t="s">
        <v>211</v>
      </c>
      <c r="D471" t="s">
        <v>192</v>
      </c>
      <c r="E471" t="s">
        <v>193</v>
      </c>
      <c r="F471" t="s">
        <v>201</v>
      </c>
      <c r="G471" t="s">
        <v>202</v>
      </c>
      <c r="H471" t="s">
        <v>196</v>
      </c>
      <c r="I471" t="s">
        <v>197</v>
      </c>
      <c r="J471" t="s">
        <v>213</v>
      </c>
      <c r="K471">
        <v>0</v>
      </c>
      <c r="L471" s="36">
        <v>43826</v>
      </c>
      <c r="M471">
        <v>0</v>
      </c>
      <c r="N471">
        <v>0</v>
      </c>
      <c r="O471">
        <f t="shared" si="7"/>
        <v>0</v>
      </c>
    </row>
    <row r="472" spans="1:15" hidden="1">
      <c r="A472" t="s">
        <v>1162</v>
      </c>
      <c r="B472" t="s">
        <v>1163</v>
      </c>
      <c r="C472" t="s">
        <v>191</v>
      </c>
      <c r="D472" t="s">
        <v>192</v>
      </c>
      <c r="E472" t="s">
        <v>193</v>
      </c>
      <c r="F472" t="s">
        <v>194</v>
      </c>
      <c r="G472" t="s">
        <v>800</v>
      </c>
      <c r="H472" t="s">
        <v>196</v>
      </c>
      <c r="I472" t="s">
        <v>197</v>
      </c>
      <c r="J472" t="s">
        <v>1111</v>
      </c>
      <c r="K472">
        <v>1800</v>
      </c>
      <c r="L472" s="36">
        <v>43881</v>
      </c>
      <c r="M472">
        <v>9.7799999999999994</v>
      </c>
      <c r="N472">
        <v>4.9000000000000004</v>
      </c>
      <c r="O472">
        <f t="shared" si="7"/>
        <v>14.68</v>
      </c>
    </row>
    <row r="473" spans="1:15" hidden="1">
      <c r="A473" t="s">
        <v>1164</v>
      </c>
      <c r="B473" t="s">
        <v>1165</v>
      </c>
      <c r="C473" t="s">
        <v>211</v>
      </c>
      <c r="D473" t="s">
        <v>192</v>
      </c>
      <c r="E473" t="s">
        <v>193</v>
      </c>
      <c r="F473" t="s">
        <v>201</v>
      </c>
      <c r="G473" t="s">
        <v>202</v>
      </c>
      <c r="H473" t="s">
        <v>196</v>
      </c>
      <c r="I473" t="s">
        <v>197</v>
      </c>
      <c r="J473" t="s">
        <v>213</v>
      </c>
      <c r="K473">
        <v>0</v>
      </c>
      <c r="L473" s="36">
        <v>43826</v>
      </c>
      <c r="M473">
        <v>0</v>
      </c>
      <c r="N473">
        <v>0</v>
      </c>
      <c r="O473">
        <f t="shared" si="7"/>
        <v>0</v>
      </c>
    </row>
    <row r="474" spans="1:15" hidden="1">
      <c r="A474" t="s">
        <v>1166</v>
      </c>
      <c r="B474" t="s">
        <v>1167</v>
      </c>
      <c r="C474" t="s">
        <v>191</v>
      </c>
      <c r="D474" t="s">
        <v>192</v>
      </c>
      <c r="E474" t="s">
        <v>193</v>
      </c>
      <c r="F474" t="s">
        <v>194</v>
      </c>
      <c r="G474" t="s">
        <v>1168</v>
      </c>
      <c r="H474" t="s">
        <v>196</v>
      </c>
      <c r="I474" t="s">
        <v>197</v>
      </c>
      <c r="J474" t="s">
        <v>1169</v>
      </c>
      <c r="K474">
        <v>5200</v>
      </c>
      <c r="L474" s="36">
        <v>43906</v>
      </c>
      <c r="M474">
        <v>15.52</v>
      </c>
      <c r="N474">
        <v>2.78</v>
      </c>
      <c r="O474">
        <f t="shared" si="7"/>
        <v>18.3</v>
      </c>
    </row>
    <row r="475" spans="1:15" hidden="1">
      <c r="A475" t="s">
        <v>1170</v>
      </c>
      <c r="B475" t="s">
        <v>1171</v>
      </c>
      <c r="C475" t="s">
        <v>269</v>
      </c>
      <c r="D475" t="s">
        <v>192</v>
      </c>
      <c r="E475" t="s">
        <v>193</v>
      </c>
      <c r="F475" t="s">
        <v>201</v>
      </c>
      <c r="G475" t="s">
        <v>233</v>
      </c>
      <c r="H475" t="s">
        <v>196</v>
      </c>
      <c r="I475" t="s">
        <v>197</v>
      </c>
      <c r="J475" t="s">
        <v>234</v>
      </c>
      <c r="K475">
        <v>10</v>
      </c>
      <c r="L475" s="36">
        <v>43838</v>
      </c>
      <c r="M475">
        <v>67.010000000000005</v>
      </c>
      <c r="N475">
        <v>7.0000000000000007E-2</v>
      </c>
      <c r="O475">
        <f t="shared" si="7"/>
        <v>67.08</v>
      </c>
    </row>
    <row r="476" spans="1:15" hidden="1">
      <c r="A476" t="s">
        <v>1172</v>
      </c>
      <c r="B476" t="s">
        <v>1173</v>
      </c>
      <c r="C476" t="s">
        <v>191</v>
      </c>
      <c r="D476" t="s">
        <v>192</v>
      </c>
      <c r="E476" t="s">
        <v>193</v>
      </c>
      <c r="F476" t="s">
        <v>194</v>
      </c>
      <c r="G476" t="s">
        <v>1174</v>
      </c>
      <c r="H476" t="s">
        <v>196</v>
      </c>
      <c r="I476" t="s">
        <v>197</v>
      </c>
      <c r="J476" t="s">
        <v>1175</v>
      </c>
      <c r="K476">
        <v>120</v>
      </c>
      <c r="L476" s="36">
        <v>43906</v>
      </c>
      <c r="M476">
        <v>0.27</v>
      </c>
      <c r="N476">
        <v>1.42</v>
      </c>
      <c r="O476">
        <f t="shared" si="7"/>
        <v>1.69</v>
      </c>
    </row>
    <row r="477" spans="1:15" hidden="1">
      <c r="A477" t="s">
        <v>1176</v>
      </c>
      <c r="B477" t="s">
        <v>1177</v>
      </c>
      <c r="C477" t="s">
        <v>269</v>
      </c>
      <c r="D477" t="s">
        <v>192</v>
      </c>
      <c r="E477" t="s">
        <v>193</v>
      </c>
      <c r="F477" t="s">
        <v>201</v>
      </c>
      <c r="G477" t="s">
        <v>233</v>
      </c>
      <c r="H477" t="s">
        <v>196</v>
      </c>
      <c r="I477" t="s">
        <v>197</v>
      </c>
      <c r="J477" t="s">
        <v>234</v>
      </c>
      <c r="K477">
        <v>10</v>
      </c>
      <c r="L477" s="36">
        <v>43667</v>
      </c>
      <c r="M477">
        <v>102.49</v>
      </c>
      <c r="N477">
        <v>0.52</v>
      </c>
      <c r="O477">
        <f t="shared" si="7"/>
        <v>103.00999999999999</v>
      </c>
    </row>
    <row r="478" spans="1:15" hidden="1">
      <c r="A478" t="s">
        <v>1178</v>
      </c>
      <c r="B478" t="s">
        <v>1179</v>
      </c>
      <c r="C478" t="s">
        <v>269</v>
      </c>
      <c r="D478" t="s">
        <v>192</v>
      </c>
      <c r="E478" t="s">
        <v>193</v>
      </c>
      <c r="F478" t="s">
        <v>201</v>
      </c>
      <c r="G478" t="s">
        <v>233</v>
      </c>
      <c r="H478" t="s">
        <v>196</v>
      </c>
      <c r="I478" t="s">
        <v>197</v>
      </c>
      <c r="J478" t="s">
        <v>234</v>
      </c>
      <c r="K478">
        <v>82.99</v>
      </c>
      <c r="L478" s="36">
        <v>43889</v>
      </c>
      <c r="M478">
        <v>178.81</v>
      </c>
      <c r="N478">
        <v>0.18</v>
      </c>
      <c r="O478">
        <f t="shared" si="7"/>
        <v>178.99</v>
      </c>
    </row>
    <row r="479" spans="1:15" hidden="1">
      <c r="A479" t="s">
        <v>1180</v>
      </c>
      <c r="B479" t="s">
        <v>1181</v>
      </c>
      <c r="C479" t="s">
        <v>191</v>
      </c>
      <c r="D479" t="s">
        <v>192</v>
      </c>
      <c r="E479" t="s">
        <v>193</v>
      </c>
      <c r="F479" t="s">
        <v>201</v>
      </c>
      <c r="G479" t="s">
        <v>202</v>
      </c>
      <c r="H479" t="s">
        <v>196</v>
      </c>
      <c r="I479" t="s">
        <v>197</v>
      </c>
      <c r="J479" t="s">
        <v>206</v>
      </c>
      <c r="K479">
        <v>10</v>
      </c>
      <c r="L479" s="36">
        <v>43902</v>
      </c>
      <c r="M479">
        <v>1.49</v>
      </c>
      <c r="N479">
        <v>13.21</v>
      </c>
      <c r="O479">
        <f t="shared" si="7"/>
        <v>14.700000000000001</v>
      </c>
    </row>
    <row r="480" spans="1:15" hidden="1">
      <c r="A480" t="s">
        <v>1182</v>
      </c>
      <c r="B480" t="s">
        <v>1183</v>
      </c>
      <c r="C480" t="s">
        <v>232</v>
      </c>
      <c r="D480" t="s">
        <v>192</v>
      </c>
      <c r="E480" t="s">
        <v>193</v>
      </c>
      <c r="F480" t="s">
        <v>414</v>
      </c>
      <c r="G480" t="s">
        <v>163</v>
      </c>
      <c r="H480" t="s">
        <v>196</v>
      </c>
      <c r="I480" t="s">
        <v>197</v>
      </c>
      <c r="J480" t="s">
        <v>972</v>
      </c>
      <c r="K480">
        <v>140</v>
      </c>
      <c r="L480" s="36">
        <v>43896</v>
      </c>
      <c r="M480">
        <v>0.04</v>
      </c>
      <c r="N480">
        <v>12.93</v>
      </c>
      <c r="O480">
        <f t="shared" si="7"/>
        <v>12.969999999999999</v>
      </c>
    </row>
    <row r="481" spans="1:15" hidden="1">
      <c r="A481" t="s">
        <v>1184</v>
      </c>
      <c r="B481" t="s">
        <v>1185</v>
      </c>
      <c r="C481" t="s">
        <v>232</v>
      </c>
      <c r="D481" t="s">
        <v>192</v>
      </c>
      <c r="E481" t="s">
        <v>193</v>
      </c>
      <c r="F481" t="s">
        <v>414</v>
      </c>
      <c r="G481" t="s">
        <v>163</v>
      </c>
      <c r="H481" t="s">
        <v>196</v>
      </c>
      <c r="I481" t="s">
        <v>197</v>
      </c>
      <c r="J481" t="s">
        <v>972</v>
      </c>
      <c r="K481">
        <v>200</v>
      </c>
      <c r="L481" s="36">
        <v>43908</v>
      </c>
      <c r="M481">
        <v>0.18</v>
      </c>
      <c r="N481">
        <v>34.590000000000003</v>
      </c>
      <c r="O481">
        <f t="shared" si="7"/>
        <v>34.770000000000003</v>
      </c>
    </row>
    <row r="482" spans="1:15" hidden="1">
      <c r="A482" t="s">
        <v>1186</v>
      </c>
      <c r="B482" t="s">
        <v>1187</v>
      </c>
      <c r="C482" t="s">
        <v>232</v>
      </c>
      <c r="D482" t="s">
        <v>192</v>
      </c>
      <c r="E482" t="s">
        <v>193</v>
      </c>
      <c r="F482" t="s">
        <v>414</v>
      </c>
      <c r="G482" t="s">
        <v>163</v>
      </c>
      <c r="H482" t="s">
        <v>196</v>
      </c>
      <c r="I482" t="s">
        <v>197</v>
      </c>
      <c r="J482" t="s">
        <v>1188</v>
      </c>
      <c r="K482">
        <v>50</v>
      </c>
      <c r="L482" s="36">
        <v>43902</v>
      </c>
      <c r="M482">
        <v>0.11</v>
      </c>
      <c r="N482">
        <v>22.22</v>
      </c>
      <c r="O482">
        <f t="shared" si="7"/>
        <v>22.33</v>
      </c>
    </row>
    <row r="483" spans="1:15" hidden="1">
      <c r="A483" t="s">
        <v>1189</v>
      </c>
      <c r="B483" t="s">
        <v>1190</v>
      </c>
      <c r="C483" t="s">
        <v>232</v>
      </c>
      <c r="D483" t="s">
        <v>192</v>
      </c>
      <c r="E483" t="s">
        <v>193</v>
      </c>
      <c r="F483" t="s">
        <v>414</v>
      </c>
      <c r="G483" t="s">
        <v>163</v>
      </c>
      <c r="H483" t="s">
        <v>196</v>
      </c>
      <c r="I483" t="s">
        <v>197</v>
      </c>
      <c r="J483" t="s">
        <v>664</v>
      </c>
      <c r="K483">
        <v>0</v>
      </c>
      <c r="L483" s="36">
        <v>43907</v>
      </c>
      <c r="M483">
        <v>0.23</v>
      </c>
      <c r="N483">
        <v>22.4</v>
      </c>
      <c r="O483">
        <f t="shared" si="7"/>
        <v>22.63</v>
      </c>
    </row>
  </sheetData>
  <autoFilter ref="A1:O483" xr:uid="{00000000-0009-0000-0000-000009000000}">
    <filterColumn colId="1">
      <filters>
        <filter val="CF-259(d)"/>
        <filter val="LA.a-25(d)"/>
        <filter val="NCF-125"/>
        <filter val="NLAS-0025"/>
        <filter val="NMDM-0025"/>
        <filter val="NPP-0025(I)"/>
      </filters>
    </filterColumn>
    <filterColumn colId="9">
      <filters>
        <filter val="CF1"/>
        <filter val="CF3"/>
      </filters>
    </filterColumn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2847B-47C8-4351-9528-99411DD84BF4}">
  <dimension ref="D1:F39"/>
  <sheetViews>
    <sheetView showGridLines="0" zoomScale="80" zoomScaleNormal="80" workbookViewId="0">
      <selection activeCell="H30" sqref="H30"/>
    </sheetView>
  </sheetViews>
  <sheetFormatPr baseColWidth="10" defaultRowHeight="15"/>
  <cols>
    <col min="1" max="3" width="11.42578125" style="1"/>
    <col min="4" max="4" width="33.140625" style="1" customWidth="1"/>
    <col min="5" max="5" width="3.5703125" style="1" customWidth="1"/>
    <col min="6" max="6" width="35" style="1" bestFit="1" customWidth="1"/>
    <col min="7" max="16384" width="11.42578125" style="1"/>
  </cols>
  <sheetData>
    <row r="1" spans="4:6" ht="15" customHeight="1">
      <c r="D1" s="149" t="s">
        <v>1385</v>
      </c>
      <c r="F1" s="149" t="s">
        <v>1386</v>
      </c>
    </row>
    <row r="2" spans="4:6" ht="15" customHeight="1">
      <c r="D2" s="9" t="s">
        <v>96</v>
      </c>
      <c r="F2" s="150" t="s">
        <v>1354</v>
      </c>
    </row>
    <row r="3" spans="4:6" ht="15" customHeight="1">
      <c r="D3" s="9" t="s">
        <v>9</v>
      </c>
      <c r="F3" s="151" t="s">
        <v>1355</v>
      </c>
    </row>
    <row r="4" spans="4:6" ht="15" customHeight="1">
      <c r="D4" s="9" t="s">
        <v>97</v>
      </c>
      <c r="F4" s="150" t="s">
        <v>1356</v>
      </c>
    </row>
    <row r="5" spans="4:6" ht="15" customHeight="1">
      <c r="D5" s="9" t="s">
        <v>100</v>
      </c>
      <c r="F5" s="150" t="s">
        <v>1357</v>
      </c>
    </row>
    <row r="6" spans="4:6" ht="15" customHeight="1">
      <c r="D6" s="9" t="s">
        <v>132</v>
      </c>
      <c r="F6" s="150" t="s">
        <v>1358</v>
      </c>
    </row>
    <row r="7" spans="4:6" ht="15" customHeight="1">
      <c r="D7" s="9" t="s">
        <v>16</v>
      </c>
      <c r="F7" s="150" t="s">
        <v>1354</v>
      </c>
    </row>
    <row r="8" spans="4:6" ht="15" customHeight="1">
      <c r="D8" s="9" t="s">
        <v>18</v>
      </c>
      <c r="F8" s="150" t="s">
        <v>1359</v>
      </c>
    </row>
    <row r="9" spans="4:6" ht="15" customHeight="1">
      <c r="D9" s="12" t="s">
        <v>28</v>
      </c>
      <c r="F9" s="150" t="s">
        <v>1360</v>
      </c>
    </row>
    <row r="10" spans="4:6" ht="15" customHeight="1">
      <c r="D10" s="12" t="s">
        <v>130</v>
      </c>
      <c r="F10" s="150" t="s">
        <v>1361</v>
      </c>
    </row>
    <row r="11" spans="4:6" ht="15" customHeight="1">
      <c r="D11" s="12" t="s">
        <v>110</v>
      </c>
      <c r="F11" s="150" t="s">
        <v>1362</v>
      </c>
    </row>
    <row r="12" spans="4:6" ht="15" customHeight="1">
      <c r="D12" s="9" t="s">
        <v>98</v>
      </c>
      <c r="F12" s="152" t="s">
        <v>1363</v>
      </c>
    </row>
    <row r="13" spans="4:6" ht="15" customHeight="1">
      <c r="D13" s="9" t="s">
        <v>131</v>
      </c>
      <c r="F13" s="152" t="s">
        <v>1364</v>
      </c>
    </row>
    <row r="14" spans="4:6" ht="15" customHeight="1">
      <c r="D14" s="9" t="s">
        <v>99</v>
      </c>
      <c r="F14" s="152" t="s">
        <v>1365</v>
      </c>
    </row>
    <row r="15" spans="4:6" ht="15" customHeight="1">
      <c r="D15" s="9" t="s">
        <v>129</v>
      </c>
      <c r="F15" s="152" t="s">
        <v>1366</v>
      </c>
    </row>
    <row r="16" spans="4:6" ht="15" customHeight="1">
      <c r="D16" s="9" t="s">
        <v>123</v>
      </c>
      <c r="F16" s="152" t="s">
        <v>1367</v>
      </c>
    </row>
    <row r="17" spans="4:6" ht="15" customHeight="1">
      <c r="D17" s="9" t="s">
        <v>101</v>
      </c>
      <c r="F17" s="152" t="s">
        <v>1368</v>
      </c>
    </row>
    <row r="18" spans="4:6" ht="15" customHeight="1">
      <c r="D18" s="9" t="s">
        <v>57</v>
      </c>
      <c r="F18" s="152" t="s">
        <v>1369</v>
      </c>
    </row>
    <row r="19" spans="4:6" ht="15" customHeight="1">
      <c r="D19" s="12" t="s">
        <v>124</v>
      </c>
      <c r="F19" s="152" t="s">
        <v>1370</v>
      </c>
    </row>
    <row r="20" spans="4:6" ht="15" customHeight="1">
      <c r="D20" s="9" t="s">
        <v>133</v>
      </c>
      <c r="F20" s="152" t="s">
        <v>1371</v>
      </c>
    </row>
    <row r="21" spans="4:6" ht="15" customHeight="1">
      <c r="D21" s="9" t="s">
        <v>127</v>
      </c>
      <c r="F21" s="152" t="s">
        <v>1372</v>
      </c>
    </row>
    <row r="22" spans="4:6" ht="15" customHeight="1">
      <c r="D22" s="9" t="s">
        <v>134</v>
      </c>
      <c r="F22" s="152" t="s">
        <v>1373</v>
      </c>
    </row>
    <row r="23" spans="4:6" ht="15" customHeight="1">
      <c r="D23" s="9" t="s">
        <v>77</v>
      </c>
      <c r="F23" s="152" t="s">
        <v>1374</v>
      </c>
    </row>
    <row r="24" spans="4:6" ht="15" customHeight="1">
      <c r="D24" s="9" t="s">
        <v>102</v>
      </c>
      <c r="F24" s="152" t="s">
        <v>1366</v>
      </c>
    </row>
    <row r="25" spans="4:6" ht="15" customHeight="1">
      <c r="D25" s="9" t="s">
        <v>136</v>
      </c>
      <c r="F25" s="152" t="s">
        <v>1375</v>
      </c>
    </row>
    <row r="26" spans="4:6" ht="15" customHeight="1">
      <c r="D26" s="9" t="s">
        <v>151</v>
      </c>
      <c r="F26" s="152" t="s">
        <v>1376</v>
      </c>
    </row>
    <row r="27" spans="4:6" ht="15" customHeight="1">
      <c r="D27" s="9" t="s">
        <v>88</v>
      </c>
      <c r="F27" s="152" t="s">
        <v>1377</v>
      </c>
    </row>
    <row r="28" spans="4:6" ht="15" customHeight="1">
      <c r="D28" s="9" t="s">
        <v>142</v>
      </c>
      <c r="F28" s="152" t="s">
        <v>1378</v>
      </c>
    </row>
    <row r="29" spans="4:6" ht="15" customHeight="1">
      <c r="D29" s="9" t="s">
        <v>92</v>
      </c>
      <c r="F29" s="152" t="s">
        <v>131</v>
      </c>
    </row>
    <row r="30" spans="4:6" ht="15" customHeight="1">
      <c r="D30" s="9" t="s">
        <v>91</v>
      </c>
      <c r="F30" s="152" t="s">
        <v>132</v>
      </c>
    </row>
    <row r="31" spans="4:6" ht="15" customHeight="1">
      <c r="D31" s="9" t="s">
        <v>93</v>
      </c>
      <c r="F31" s="152" t="s">
        <v>1379</v>
      </c>
    </row>
    <row r="32" spans="4:6" ht="15" customHeight="1">
      <c r="D32" s="9" t="s">
        <v>143</v>
      </c>
      <c r="F32" s="152" t="s">
        <v>1380</v>
      </c>
    </row>
    <row r="33" spans="6:6">
      <c r="F33" s="152" t="s">
        <v>1381</v>
      </c>
    </row>
    <row r="34" spans="6:6">
      <c r="F34" s="152" t="s">
        <v>102</v>
      </c>
    </row>
    <row r="35" spans="6:6">
      <c r="F35" s="152" t="s">
        <v>1382</v>
      </c>
    </row>
    <row r="36" spans="6:6">
      <c r="F36" s="152" t="s">
        <v>1382</v>
      </c>
    </row>
    <row r="37" spans="6:6">
      <c r="F37" s="152" t="s">
        <v>102</v>
      </c>
    </row>
    <row r="38" spans="6:6" ht="15.75">
      <c r="F38" s="150" t="s">
        <v>1383</v>
      </c>
    </row>
    <row r="39" spans="6:6">
      <c r="F39" s="153" t="s">
        <v>1384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V259"/>
  <sheetViews>
    <sheetView showGridLines="0" topLeftCell="A2" zoomScale="90" zoomScaleNormal="90" workbookViewId="0">
      <pane xSplit="2" ySplit="1" topLeftCell="H126" activePane="bottomRight" state="frozen"/>
      <selection activeCell="A2" sqref="A2"/>
      <selection pane="topRight" activeCell="C2" sqref="C2"/>
      <selection pane="bottomLeft" activeCell="A3" sqref="A3"/>
      <selection pane="bottomRight" activeCell="L264" sqref="L264"/>
    </sheetView>
  </sheetViews>
  <sheetFormatPr baseColWidth="10" defaultColWidth="11.42578125" defaultRowHeight="15"/>
  <cols>
    <col min="1" max="1" width="22.42578125" style="3" bestFit="1" customWidth="1"/>
    <col min="2" max="2" width="19" style="2" customWidth="1"/>
    <col min="3" max="3" width="11.28515625" style="2" hidden="1" customWidth="1"/>
    <col min="4" max="4" width="10.140625" style="2" hidden="1" customWidth="1"/>
    <col min="5" max="5" width="5.42578125" style="2" hidden="1" customWidth="1"/>
    <col min="6" max="6" width="4.42578125" style="2" hidden="1" customWidth="1"/>
    <col min="7" max="7" width="6.28515625" style="2" hidden="1" customWidth="1"/>
    <col min="8" max="8" width="16.7109375" style="5" customWidth="1"/>
    <col min="9" max="9" width="11.7109375" style="5" customWidth="1"/>
    <col min="10" max="10" width="26" style="4" customWidth="1"/>
    <col min="11" max="11" width="21.42578125" style="4" bestFit="1" customWidth="1"/>
    <col min="12" max="12" width="11" style="1" bestFit="1" customWidth="1"/>
    <col min="13" max="13" width="13.85546875" style="1" bestFit="1" customWidth="1"/>
    <col min="14" max="17" width="13.85546875" style="1" customWidth="1"/>
    <col min="18" max="20" width="13.28515625" style="1" customWidth="1"/>
    <col min="21" max="21" width="9" style="1" customWidth="1"/>
    <col min="22" max="22" width="13.28515625" style="1" customWidth="1"/>
    <col min="23" max="16384" width="11.42578125" style="1"/>
  </cols>
  <sheetData>
    <row r="1" spans="1:22" s="56" customFormat="1" hidden="1">
      <c r="A1" s="55">
        <v>1</v>
      </c>
      <c r="B1" s="57">
        <v>2</v>
      </c>
      <c r="C1" s="55">
        <v>3</v>
      </c>
      <c r="D1" s="57">
        <v>4</v>
      </c>
      <c r="E1" s="55">
        <v>5</v>
      </c>
      <c r="F1" s="57">
        <v>6</v>
      </c>
      <c r="G1" s="55">
        <v>7</v>
      </c>
      <c r="H1" s="57">
        <v>8</v>
      </c>
      <c r="I1" s="55">
        <v>9</v>
      </c>
      <c r="J1" s="57">
        <v>10</v>
      </c>
      <c r="K1" s="55">
        <v>11</v>
      </c>
      <c r="L1" s="57">
        <v>12</v>
      </c>
      <c r="M1" s="55">
        <v>13</v>
      </c>
      <c r="N1" s="57">
        <v>14</v>
      </c>
      <c r="O1" s="57"/>
      <c r="P1" s="55">
        <v>15</v>
      </c>
      <c r="Q1" s="55"/>
      <c r="R1" s="57">
        <v>16</v>
      </c>
      <c r="S1" s="55">
        <v>17</v>
      </c>
      <c r="T1" s="57"/>
      <c r="U1" s="55"/>
      <c r="V1" s="57"/>
    </row>
    <row r="2" spans="1:22" s="54" customFormat="1" ht="49.5" customHeight="1">
      <c r="A2" s="6" t="s">
        <v>0</v>
      </c>
      <c r="B2" s="6" t="s">
        <v>1</v>
      </c>
      <c r="C2" s="6" t="s">
        <v>1222</v>
      </c>
      <c r="D2" s="6" t="s">
        <v>1223</v>
      </c>
      <c r="E2" s="6" t="s">
        <v>1224</v>
      </c>
      <c r="F2" s="6" t="s">
        <v>1229</v>
      </c>
      <c r="G2" s="6" t="s">
        <v>1230</v>
      </c>
      <c r="H2" s="6" t="s">
        <v>2</v>
      </c>
      <c r="I2" s="6" t="s">
        <v>174</v>
      </c>
      <c r="J2" s="6" t="s">
        <v>3</v>
      </c>
      <c r="K2" s="6" t="s">
        <v>4</v>
      </c>
      <c r="L2" s="6" t="s">
        <v>114</v>
      </c>
      <c r="M2" s="6" t="s">
        <v>5</v>
      </c>
      <c r="N2" s="6" t="s">
        <v>1228</v>
      </c>
      <c r="O2" s="6" t="s">
        <v>1234</v>
      </c>
      <c r="P2" s="6" t="s">
        <v>1233</v>
      </c>
      <c r="Q2" s="6" t="s">
        <v>1235</v>
      </c>
      <c r="R2" s="6" t="s">
        <v>173</v>
      </c>
      <c r="S2" s="6" t="s">
        <v>1197</v>
      </c>
      <c r="T2" s="6" t="s">
        <v>1253</v>
      </c>
      <c r="U2" s="6" t="s">
        <v>1331</v>
      </c>
      <c r="V2" s="6" t="s">
        <v>1290</v>
      </c>
    </row>
    <row r="3" spans="1:22" ht="15" customHeight="1">
      <c r="A3" s="7" t="s">
        <v>158</v>
      </c>
      <c r="B3" s="8" t="s">
        <v>6</v>
      </c>
      <c r="C3" s="8"/>
      <c r="D3" s="11">
        <f>0.25*697</f>
        <v>174.25</v>
      </c>
      <c r="E3" s="11">
        <f>0.25*3591</f>
        <v>897.75</v>
      </c>
      <c r="F3" s="11">
        <f>E3+D3</f>
        <v>1072</v>
      </c>
      <c r="G3" s="11" t="str">
        <f>IFERROR(VLOOKUP(C:C,CtrlPozo!$B:$O,10,0),"")</f>
        <v/>
      </c>
      <c r="H3" s="9" t="s">
        <v>96</v>
      </c>
      <c r="I3" s="9">
        <f>VLOOKUP(H:H,LP!$A:$C,3,0)</f>
        <v>4.25</v>
      </c>
      <c r="J3" s="10" t="s">
        <v>103</v>
      </c>
      <c r="K3" s="10" t="s">
        <v>7</v>
      </c>
      <c r="L3" s="34"/>
      <c r="M3" s="34" t="s">
        <v>172</v>
      </c>
      <c r="N3" s="34">
        <f>HLOOKUP(VLOOKUP(J3,BCConc!$B:$D,3,0),$D$1:$G$259,ROW(B3),0)</f>
        <v>1072</v>
      </c>
      <c r="O3" s="34">
        <f t="shared" ref="O3:O34" si="0">P3*N3/1000</f>
        <v>53.6</v>
      </c>
      <c r="P3" s="34">
        <v>50</v>
      </c>
      <c r="Q3" s="34"/>
      <c r="R3" s="58">
        <f>IF(O3&gt;0,O3*30.5,IF(AND(M3="BATCH",L3="SEMANAL"),Q3*4,IF(AND(M3="BATCH",L3="Quincenal"),Q3*2,IF(AND(M3="ENCAPSULADO",L3="8M"),Q3/8,IF(AND(M3="ENCAPSULADO",L3="6M"),Q3/6,IF(AND(M3="ENCAPSULADO",L3="4M"),Q3/4,IF(AND(M3="ENCAPSULADO",L3="3M"),Q3/3,"")))))))</f>
        <v>1634.8</v>
      </c>
      <c r="S3" s="58">
        <f>R3*I3</f>
        <v>6947.9</v>
      </c>
      <c r="T3" s="58" t="str">
        <f>VLOOKUP(J3,BCConc!$B:$E,4,0)</f>
        <v>RF</v>
      </c>
      <c r="U3" s="58" t="str">
        <f>MID(B3,1,3)</f>
        <v>COL</v>
      </c>
      <c r="V3" s="58" t="str">
        <f>VLOOKUP(U3,BCConc!$L$1:$M$36,2,0)</f>
        <v>Colector</v>
      </c>
    </row>
    <row r="4" spans="1:22" ht="15" customHeight="1">
      <c r="A4" s="7" t="s">
        <v>158</v>
      </c>
      <c r="B4" s="8" t="s">
        <v>8</v>
      </c>
      <c r="C4" s="8" t="s">
        <v>206</v>
      </c>
      <c r="D4" s="8">
        <f>VLOOKUP(C:C,CtrlBat!$A:$D,3,0)</f>
        <v>451.76</v>
      </c>
      <c r="E4" s="8">
        <f>VLOOKUP(C:C,CtrlBat!$A:$D,4,0)</f>
        <v>1751.7300000000002</v>
      </c>
      <c r="F4" s="11">
        <f t="shared" ref="F4:F67" si="1">E4+D4</f>
        <v>2203.4900000000002</v>
      </c>
      <c r="G4" s="11" t="str">
        <f>IFERROR(VLOOKUP(C:C,CtrlPozo!$B:$O,10,0),"")</f>
        <v/>
      </c>
      <c r="H4" s="9" t="s">
        <v>9</v>
      </c>
      <c r="I4" s="9">
        <f>VLOOKUP(H:H,LP!$A:$C,3,0)</f>
        <v>5.7</v>
      </c>
      <c r="J4" s="10" t="s">
        <v>10</v>
      </c>
      <c r="K4" s="10" t="s">
        <v>11</v>
      </c>
      <c r="L4" s="34"/>
      <c r="M4" s="34" t="s">
        <v>172</v>
      </c>
      <c r="N4" s="34">
        <f>HLOOKUP(VLOOKUP(J4,BCConc!$B:$D,3,0),$D$1:$G$259,ROW(B4),0)</f>
        <v>1751.7300000000002</v>
      </c>
      <c r="O4" s="34">
        <f t="shared" si="0"/>
        <v>52.55190000000001</v>
      </c>
      <c r="P4" s="34">
        <v>30</v>
      </c>
      <c r="Q4" s="34"/>
      <c r="R4" s="58">
        <f t="shared" ref="R4:R67" si="2">IF(O4&gt;0,O4*30.5,IF(AND(M4="BATCH",L4="SEMANAL"),Q4*4,IF(AND(M4="BATCH",L4="Quincenal"),Q4*2,IF(AND(M4="ENCAPSULADO",L4="8M"),Q4/8,IF(AND(M4="ENCAPSULADO",L4="6M"),Q4/6,IF(AND(M4="ENCAPSULADO",L4="4M"),Q4/4,IF(AND(M4="ENCAPSULADO",L4="3M"),Q4/3,"")))))))</f>
        <v>1602.8329500000002</v>
      </c>
      <c r="S4" s="58">
        <f t="shared" ref="S4:S67" si="3">R4*I4</f>
        <v>9136.1478150000021</v>
      </c>
      <c r="T4" s="58" t="str">
        <f>VLOOKUP(J4,BCConc!$B:$E,4,0)</f>
        <v>BX</v>
      </c>
      <c r="U4" s="58" t="str">
        <f t="shared" ref="U4:U67" si="4">MID(B4,1,3)</f>
        <v>BAT</v>
      </c>
      <c r="V4" s="58" t="str">
        <f>VLOOKUP(U4,BCConc!$L$1:$M$36,2,0)</f>
        <v>Bateria</v>
      </c>
    </row>
    <row r="5" spans="1:22" ht="15" customHeight="1">
      <c r="A5" s="7" t="s">
        <v>158</v>
      </c>
      <c r="B5" s="8" t="s">
        <v>8</v>
      </c>
      <c r="C5" s="8" t="s">
        <v>206</v>
      </c>
      <c r="D5" s="8">
        <f>VLOOKUP(C:C,CtrlBat!$A:$D,3,0)</f>
        <v>451.76</v>
      </c>
      <c r="E5" s="8">
        <f>VLOOKUP(C:C,CtrlBat!$A:$D,4,0)</f>
        <v>1751.7300000000002</v>
      </c>
      <c r="F5" s="11">
        <f t="shared" si="1"/>
        <v>2203.4900000000002</v>
      </c>
      <c r="G5" s="11" t="str">
        <f>IFERROR(VLOOKUP(C:C,CtrlPozo!$B:$O,10,0),"")</f>
        <v/>
      </c>
      <c r="H5" s="9" t="s">
        <v>97</v>
      </c>
      <c r="I5" s="9">
        <f>VLOOKUP(H:H,LP!$A:$C,3,0)</f>
        <v>2.19</v>
      </c>
      <c r="J5" s="10" t="s">
        <v>12</v>
      </c>
      <c r="K5" s="10" t="s">
        <v>7</v>
      </c>
      <c r="L5" s="34"/>
      <c r="M5" s="34" t="s">
        <v>172</v>
      </c>
      <c r="N5" s="34">
        <f>HLOOKUP(VLOOKUP(J5,BCConc!$B:$D,3,0),$D$1:$G$259,ROW(B5),0)</f>
        <v>1751.7300000000002</v>
      </c>
      <c r="O5" s="34">
        <f t="shared" si="0"/>
        <v>35.034600000000005</v>
      </c>
      <c r="P5" s="34">
        <v>20</v>
      </c>
      <c r="Q5" s="34"/>
      <c r="R5" s="58">
        <f t="shared" si="2"/>
        <v>1068.5553000000002</v>
      </c>
      <c r="S5" s="58">
        <f t="shared" si="3"/>
        <v>2340.1361070000003</v>
      </c>
      <c r="T5" s="58" t="str">
        <f>VLOOKUP(J5,BCConc!$B:$E,4,0)</f>
        <v>IC</v>
      </c>
      <c r="U5" s="58" t="str">
        <f t="shared" si="4"/>
        <v>BAT</v>
      </c>
      <c r="V5" s="58" t="str">
        <f>VLOOKUP(U5,BCConc!$L$1:$M$36,2,0)</f>
        <v>Bateria</v>
      </c>
    </row>
    <row r="6" spans="1:22" ht="15" customHeight="1">
      <c r="A6" s="7" t="s">
        <v>158</v>
      </c>
      <c r="B6" s="8" t="s">
        <v>8</v>
      </c>
      <c r="C6" s="8" t="s">
        <v>206</v>
      </c>
      <c r="D6" s="8">
        <f>VLOOKUP(C:C,CtrlBat!$A:$D,3,0)</f>
        <v>451.76</v>
      </c>
      <c r="E6" s="8">
        <f>VLOOKUP(C:C,CtrlBat!$A:$D,4,0)</f>
        <v>1751.7300000000002</v>
      </c>
      <c r="F6" s="11">
        <f t="shared" si="1"/>
        <v>2203.4900000000002</v>
      </c>
      <c r="G6" s="11" t="str">
        <f>IFERROR(VLOOKUP(C:C,CtrlPozo!$B:$O,10,0),"")</f>
        <v/>
      </c>
      <c r="H6" s="9" t="s">
        <v>100</v>
      </c>
      <c r="I6" s="9">
        <f>VLOOKUP(H:H,LP!$A:$C,3,0)</f>
        <v>3.16</v>
      </c>
      <c r="J6" s="10" t="s">
        <v>13</v>
      </c>
      <c r="K6" s="10" t="s">
        <v>7</v>
      </c>
      <c r="L6" s="34"/>
      <c r="M6" s="34" t="s">
        <v>172</v>
      </c>
      <c r="N6" s="34">
        <f>HLOOKUP(VLOOKUP(J6,BCConc!$B:$D,3,0),$D$1:$G$259,ROW(B6),0)</f>
        <v>451.76</v>
      </c>
      <c r="O6" s="73">
        <f t="shared" si="0"/>
        <v>33.881999999999998</v>
      </c>
      <c r="P6" s="34">
        <v>75</v>
      </c>
      <c r="Q6" s="34"/>
      <c r="R6" s="58">
        <f t="shared" si="2"/>
        <v>1033.4009999999998</v>
      </c>
      <c r="S6" s="58">
        <f t="shared" si="3"/>
        <v>3265.5471599999996</v>
      </c>
      <c r="T6" s="58" t="str">
        <f>VLOOKUP(J6,BCConc!$B:$E,4,0)</f>
        <v>DB</v>
      </c>
      <c r="U6" s="58" t="str">
        <f t="shared" si="4"/>
        <v>BAT</v>
      </c>
      <c r="V6" s="58" t="str">
        <f>VLOOKUP(U6,BCConc!$L$1:$M$36,2,0)</f>
        <v>Bateria</v>
      </c>
    </row>
    <row r="7" spans="1:22" ht="15" customHeight="1">
      <c r="A7" s="7" t="s">
        <v>158</v>
      </c>
      <c r="B7" s="8" t="s">
        <v>8</v>
      </c>
      <c r="C7" s="8" t="s">
        <v>206</v>
      </c>
      <c r="D7" s="8">
        <f>VLOOKUP(C:C,CtrlBat!$A:$D,3,0)</f>
        <v>451.76</v>
      </c>
      <c r="E7" s="8">
        <f>VLOOKUP(C:C,CtrlBat!$A:$D,4,0)</f>
        <v>1751.7300000000002</v>
      </c>
      <c r="F7" s="11">
        <f t="shared" si="1"/>
        <v>2203.4900000000002</v>
      </c>
      <c r="G7" s="11" t="str">
        <f>IFERROR(VLOOKUP(C:C,CtrlPozo!$B:$O,10,0),"")</f>
        <v/>
      </c>
      <c r="H7" s="9" t="s">
        <v>132</v>
      </c>
      <c r="I7" s="9">
        <f>VLOOKUP(H:H,LP!$A:$C,3,0)</f>
        <v>5.47</v>
      </c>
      <c r="J7" s="10" t="s">
        <v>14</v>
      </c>
      <c r="K7" s="10" t="s">
        <v>15</v>
      </c>
      <c r="L7" s="34"/>
      <c r="M7" s="34" t="s">
        <v>172</v>
      </c>
      <c r="N7" s="34">
        <f>HLOOKUP(VLOOKUP(J7,BCConc!$B:$D,3,0),$D$1:$G$259,ROW(B7),0)</f>
        <v>2203.4900000000002</v>
      </c>
      <c r="O7" s="34">
        <f t="shared" si="0"/>
        <v>55.087250000000004</v>
      </c>
      <c r="P7" s="34">
        <v>25</v>
      </c>
      <c r="Q7" s="34"/>
      <c r="R7" s="58">
        <f t="shared" si="2"/>
        <v>1680.1611250000001</v>
      </c>
      <c r="S7" s="58">
        <f t="shared" si="3"/>
        <v>9190.4813537499995</v>
      </c>
      <c r="T7" s="58" t="str">
        <f>VLOOKUP(J7,BCConc!$B:$E,4,0)</f>
        <v>IP</v>
      </c>
      <c r="U7" s="58" t="str">
        <f t="shared" si="4"/>
        <v>BAT</v>
      </c>
      <c r="V7" s="58" t="str">
        <f>VLOOKUP(U7,BCConc!$L$1:$M$36,2,0)</f>
        <v>Bateria</v>
      </c>
    </row>
    <row r="8" spans="1:22" ht="15" customHeight="1">
      <c r="A8" s="7" t="s">
        <v>158</v>
      </c>
      <c r="B8" s="11" t="s">
        <v>8</v>
      </c>
      <c r="C8" s="8" t="s">
        <v>206</v>
      </c>
      <c r="D8" s="8">
        <f>VLOOKUP(C:C,CtrlBat!$A:$D,3,0)</f>
        <v>451.76</v>
      </c>
      <c r="E8" s="8">
        <f>VLOOKUP(C:C,CtrlBat!$A:$D,4,0)</f>
        <v>1751.7300000000002</v>
      </c>
      <c r="F8" s="11">
        <f t="shared" si="1"/>
        <v>2203.4900000000002</v>
      </c>
      <c r="G8" s="11" t="str">
        <f>IFERROR(VLOOKUP(C:C,CtrlPozo!$B:$O,10,0),"")</f>
        <v/>
      </c>
      <c r="H8" s="9" t="s">
        <v>16</v>
      </c>
      <c r="I8" s="9">
        <f>VLOOKUP(H:H,LP!$A:$C,3,0)</f>
        <v>2.5</v>
      </c>
      <c r="J8" s="10" t="s">
        <v>17</v>
      </c>
      <c r="K8" s="10" t="s">
        <v>7</v>
      </c>
      <c r="L8" s="34"/>
      <c r="M8" s="34" t="s">
        <v>172</v>
      </c>
      <c r="N8" s="34">
        <f>HLOOKUP(VLOOKUP(J8,BCConc!$B:$D,3,0),$D$1:$G$259,ROW(B8),0)</f>
        <v>2203.4900000000002</v>
      </c>
      <c r="O8" s="34">
        <f t="shared" si="0"/>
        <v>44.069800000000001</v>
      </c>
      <c r="P8" s="34">
        <v>20</v>
      </c>
      <c r="Q8" s="34"/>
      <c r="R8" s="58">
        <f t="shared" si="2"/>
        <v>1344.1288999999999</v>
      </c>
      <c r="S8" s="58">
        <f t="shared" si="3"/>
        <v>3360.3222499999997</v>
      </c>
      <c r="T8" s="58" t="str">
        <f>VLOOKUP(J8,BCConc!$B:$E,4,0)</f>
        <v>AB</v>
      </c>
      <c r="U8" s="58" t="str">
        <f t="shared" si="4"/>
        <v>BAT</v>
      </c>
      <c r="V8" s="58" t="str">
        <f>VLOOKUP(U8,BCConc!$L$1:$M$36,2,0)</f>
        <v>Bateria</v>
      </c>
    </row>
    <row r="9" spans="1:22" ht="15" customHeight="1">
      <c r="A9" s="7" t="s">
        <v>158</v>
      </c>
      <c r="B9" s="8" t="s">
        <v>8</v>
      </c>
      <c r="C9" s="8" t="s">
        <v>206</v>
      </c>
      <c r="D9" s="8">
        <f>VLOOKUP(C:C,CtrlBat!$A:$D,3,0)</f>
        <v>451.76</v>
      </c>
      <c r="E9" s="8">
        <f>VLOOKUP(C:C,CtrlBat!$A:$D,4,0)</f>
        <v>1751.7300000000002</v>
      </c>
      <c r="F9" s="11">
        <f t="shared" si="1"/>
        <v>2203.4900000000002</v>
      </c>
      <c r="G9" s="11" t="str">
        <f>IFERROR(VLOOKUP(C:C,CtrlPozo!$B:$O,10,0),"")</f>
        <v/>
      </c>
      <c r="H9" s="9" t="s">
        <v>18</v>
      </c>
      <c r="I9" s="9">
        <f>VLOOKUP(H:H,LP!$A:$C,3,0)</f>
        <v>2.65</v>
      </c>
      <c r="J9" s="10" t="s">
        <v>19</v>
      </c>
      <c r="K9" s="10" t="s">
        <v>11</v>
      </c>
      <c r="L9" s="34"/>
      <c r="M9" s="34" t="s">
        <v>172</v>
      </c>
      <c r="N9" s="34">
        <f>HLOOKUP(VLOOKUP(J9,BCConc!$B:$D,3,0),$D$1:$G$259,ROW(B9),0)</f>
        <v>1751.7300000000002</v>
      </c>
      <c r="O9" s="34">
        <f t="shared" si="0"/>
        <v>35.034600000000005</v>
      </c>
      <c r="P9" s="34">
        <v>20</v>
      </c>
      <c r="Q9" s="34"/>
      <c r="R9" s="58">
        <f t="shared" si="2"/>
        <v>1068.5553000000002</v>
      </c>
      <c r="S9" s="58">
        <f t="shared" si="3"/>
        <v>2831.6715450000006</v>
      </c>
      <c r="T9" s="58" t="str">
        <f>VLOOKUP(J9,BCConc!$B:$E,4,0)</f>
        <v>CY</v>
      </c>
      <c r="U9" s="58" t="str">
        <f t="shared" si="4"/>
        <v>BAT</v>
      </c>
      <c r="V9" s="58" t="str">
        <f>VLOOKUP(U9,BCConc!$L$1:$M$36,2,0)</f>
        <v>Bateria</v>
      </c>
    </row>
    <row r="10" spans="1:22" ht="15" customHeight="1">
      <c r="A10" s="7" t="s">
        <v>158</v>
      </c>
      <c r="B10" s="8" t="s">
        <v>20</v>
      </c>
      <c r="C10" s="8"/>
      <c r="D10" s="11">
        <f>0.25*697</f>
        <v>174.25</v>
      </c>
      <c r="E10" s="11">
        <f>0.25*3591</f>
        <v>897.75</v>
      </c>
      <c r="F10" s="11">
        <f t="shared" si="1"/>
        <v>1072</v>
      </c>
      <c r="G10" s="11" t="str">
        <f>IFERROR(VLOOKUP(C:C,CtrlPozo!$B:$O,10,0),"")</f>
        <v/>
      </c>
      <c r="H10" s="9" t="s">
        <v>100</v>
      </c>
      <c r="I10" s="9">
        <f>VLOOKUP(H:H,LP!$A:$C,3,0)</f>
        <v>3.16</v>
      </c>
      <c r="J10" s="10" t="s">
        <v>13</v>
      </c>
      <c r="K10" s="10" t="s">
        <v>7</v>
      </c>
      <c r="L10" s="34"/>
      <c r="M10" s="34" t="s">
        <v>172</v>
      </c>
      <c r="N10" s="34">
        <f>HLOOKUP(VLOOKUP(J10,BCConc!$B:$D,3,0),$D$1:$G$259,ROW(B10),0)</f>
        <v>174.25</v>
      </c>
      <c r="O10" s="73">
        <f t="shared" si="0"/>
        <v>8.7125000000000004</v>
      </c>
      <c r="P10" s="34">
        <v>50</v>
      </c>
      <c r="Q10" s="34"/>
      <c r="R10" s="58">
        <f t="shared" si="2"/>
        <v>265.73124999999999</v>
      </c>
      <c r="S10" s="58">
        <f t="shared" si="3"/>
        <v>839.71074999999996</v>
      </c>
      <c r="T10" s="58" t="str">
        <f>VLOOKUP(J10,BCConc!$B:$E,4,0)</f>
        <v>DB</v>
      </c>
      <c r="U10" s="58" t="str">
        <f t="shared" si="4"/>
        <v>COL</v>
      </c>
      <c r="V10" s="58" t="str">
        <f>VLOOKUP(U10,BCConc!$L$1:$M$36,2,0)</f>
        <v>Colector</v>
      </c>
    </row>
    <row r="11" spans="1:22" ht="15" customHeight="1">
      <c r="A11" s="7" t="s">
        <v>158</v>
      </c>
      <c r="B11" s="8" t="s">
        <v>21</v>
      </c>
      <c r="C11" s="8"/>
      <c r="D11" s="11">
        <f>0.25*697</f>
        <v>174.25</v>
      </c>
      <c r="E11" s="11">
        <f>0.25*3591</f>
        <v>897.75</v>
      </c>
      <c r="F11" s="11">
        <f t="shared" si="1"/>
        <v>1072</v>
      </c>
      <c r="G11" s="11" t="str">
        <f>IFERROR(VLOOKUP(C:C,CtrlPozo!$B:$O,10,0),"")</f>
        <v/>
      </c>
      <c r="H11" s="9" t="s">
        <v>100</v>
      </c>
      <c r="I11" s="9">
        <f>VLOOKUP(H:H,LP!$A:$C,3,0)</f>
        <v>3.16</v>
      </c>
      <c r="J11" s="10" t="s">
        <v>13</v>
      </c>
      <c r="K11" s="10" t="s">
        <v>7</v>
      </c>
      <c r="L11" s="34"/>
      <c r="M11" s="34" t="s">
        <v>172</v>
      </c>
      <c r="N11" s="34">
        <f>HLOOKUP(VLOOKUP(J11,BCConc!$B:$D,3,0),$D$1:$G$259,ROW(B11),0)</f>
        <v>174.25</v>
      </c>
      <c r="O11" s="73">
        <f t="shared" si="0"/>
        <v>8.7125000000000004</v>
      </c>
      <c r="P11" s="34">
        <v>50</v>
      </c>
      <c r="Q11" s="34"/>
      <c r="R11" s="58">
        <f t="shared" si="2"/>
        <v>265.73124999999999</v>
      </c>
      <c r="S11" s="58">
        <f t="shared" si="3"/>
        <v>839.71074999999996</v>
      </c>
      <c r="T11" s="58" t="str">
        <f>VLOOKUP(J11,BCConc!$B:$E,4,0)</f>
        <v>DB</v>
      </c>
      <c r="U11" s="58" t="str">
        <f t="shared" si="4"/>
        <v>COL</v>
      </c>
      <c r="V11" s="58" t="str">
        <f>VLOOKUP(U11,BCConc!$L$1:$M$36,2,0)</f>
        <v>Colector</v>
      </c>
    </row>
    <row r="12" spans="1:22" ht="15" customHeight="1">
      <c r="A12" s="7" t="s">
        <v>158</v>
      </c>
      <c r="B12" s="8" t="s">
        <v>22</v>
      </c>
      <c r="C12" s="8"/>
      <c r="D12" s="11">
        <f>0.25*697</f>
        <v>174.25</v>
      </c>
      <c r="E12" s="11">
        <f>0.25*3591</f>
        <v>897.75</v>
      </c>
      <c r="F12" s="11">
        <f t="shared" si="1"/>
        <v>1072</v>
      </c>
      <c r="G12" s="11" t="str">
        <f>IFERROR(VLOOKUP(C:C,CtrlPozo!$B:$O,10,0),"")</f>
        <v/>
      </c>
      <c r="H12" s="9" t="s">
        <v>100</v>
      </c>
      <c r="I12" s="9">
        <f>VLOOKUP(H:H,LP!$A:$C,3,0)</f>
        <v>3.16</v>
      </c>
      <c r="J12" s="10" t="s">
        <v>13</v>
      </c>
      <c r="K12" s="10" t="s">
        <v>7</v>
      </c>
      <c r="L12" s="34"/>
      <c r="M12" s="34" t="s">
        <v>172</v>
      </c>
      <c r="N12" s="34">
        <f>HLOOKUP(VLOOKUP(J12,BCConc!$B:$D,3,0),$D$1:$G$259,ROW(B12),0)</f>
        <v>174.25</v>
      </c>
      <c r="O12" s="73">
        <f t="shared" si="0"/>
        <v>8.7125000000000004</v>
      </c>
      <c r="P12" s="34">
        <v>50</v>
      </c>
      <c r="Q12" s="34"/>
      <c r="R12" s="58">
        <f t="shared" si="2"/>
        <v>265.73124999999999</v>
      </c>
      <c r="S12" s="58">
        <f t="shared" si="3"/>
        <v>839.71074999999996</v>
      </c>
      <c r="T12" s="58" t="str">
        <f>VLOOKUP(J12,BCConc!$B:$E,4,0)</f>
        <v>DB</v>
      </c>
      <c r="U12" s="58" t="str">
        <f t="shared" si="4"/>
        <v>COL</v>
      </c>
      <c r="V12" s="58" t="str">
        <f>VLOOKUP(U12,BCConc!$L$1:$M$36,2,0)</f>
        <v>Colector</v>
      </c>
    </row>
    <row r="13" spans="1:22" ht="15" customHeight="1">
      <c r="A13" s="7" t="s">
        <v>158</v>
      </c>
      <c r="B13" s="8" t="s">
        <v>22</v>
      </c>
      <c r="C13" s="8"/>
      <c r="D13" s="11">
        <f>0.25*697</f>
        <v>174.25</v>
      </c>
      <c r="E13" s="11">
        <f>0.25*3591</f>
        <v>897.75</v>
      </c>
      <c r="F13" s="11">
        <f t="shared" si="1"/>
        <v>1072</v>
      </c>
      <c r="G13" s="11" t="str">
        <f>IFERROR(VLOOKUP(C:C,CtrlPozo!$B:$O,10,0),"")</f>
        <v/>
      </c>
      <c r="H13" s="9" t="s">
        <v>132</v>
      </c>
      <c r="I13" s="9">
        <f>VLOOKUP(H:H,LP!$A:$C,3,0)</f>
        <v>5.47</v>
      </c>
      <c r="J13" s="10" t="s">
        <v>14</v>
      </c>
      <c r="K13" s="10" t="s">
        <v>7</v>
      </c>
      <c r="L13" s="34"/>
      <c r="M13" s="34" t="s">
        <v>172</v>
      </c>
      <c r="N13" s="34">
        <f>HLOOKUP(VLOOKUP(J13,BCConc!$B:$D,3,0),$D$1:$G$259,ROW(B13),0)</f>
        <v>1072</v>
      </c>
      <c r="O13" s="34">
        <f t="shared" si="0"/>
        <v>53.6</v>
      </c>
      <c r="P13" s="34">
        <v>50</v>
      </c>
      <c r="Q13" s="34"/>
      <c r="R13" s="58">
        <f t="shared" si="2"/>
        <v>1634.8</v>
      </c>
      <c r="S13" s="58">
        <f t="shared" si="3"/>
        <v>8942.3559999999998</v>
      </c>
      <c r="T13" s="58" t="str">
        <f>VLOOKUP(J13,BCConc!$B:$E,4,0)</f>
        <v>IP</v>
      </c>
      <c r="U13" s="58" t="str">
        <f t="shared" si="4"/>
        <v>COL</v>
      </c>
      <c r="V13" s="58" t="str">
        <f>VLOOKUP(U13,BCConc!$L$1:$M$36,2,0)</f>
        <v>Colector</v>
      </c>
    </row>
    <row r="14" spans="1:22" ht="15" customHeight="1">
      <c r="A14" s="7" t="s">
        <v>158</v>
      </c>
      <c r="B14" s="11" t="s">
        <v>23</v>
      </c>
      <c r="C14" s="11"/>
      <c r="D14" s="11">
        <f>0.25*697</f>
        <v>174.25</v>
      </c>
      <c r="E14" s="11">
        <f>0.25*3591</f>
        <v>897.75</v>
      </c>
      <c r="F14" s="11">
        <f t="shared" si="1"/>
        <v>1072</v>
      </c>
      <c r="G14" s="11" t="str">
        <f>IFERROR(VLOOKUP(C:C,CtrlPozo!$B:$O,10,0),"")</f>
        <v/>
      </c>
      <c r="H14" s="9" t="s">
        <v>96</v>
      </c>
      <c r="I14" s="9">
        <f>VLOOKUP(H:H,LP!$A:$C,3,0)</f>
        <v>4.25</v>
      </c>
      <c r="J14" s="10" t="s">
        <v>103</v>
      </c>
      <c r="K14" s="10" t="s">
        <v>7</v>
      </c>
      <c r="L14" s="34"/>
      <c r="M14" s="34" t="s">
        <v>172</v>
      </c>
      <c r="N14" s="34">
        <f>HLOOKUP(VLOOKUP(J14,BCConc!$B:$D,3,0),$D$1:$G$259,ROW(B14),0)</f>
        <v>1072</v>
      </c>
      <c r="O14" s="34">
        <f t="shared" si="0"/>
        <v>53.6</v>
      </c>
      <c r="P14" s="34">
        <v>50</v>
      </c>
      <c r="Q14" s="34"/>
      <c r="R14" s="58">
        <f t="shared" si="2"/>
        <v>1634.8</v>
      </c>
      <c r="S14" s="58">
        <f t="shared" si="3"/>
        <v>6947.9</v>
      </c>
      <c r="T14" s="58" t="str">
        <f>VLOOKUP(J14,BCConc!$B:$E,4,0)</f>
        <v>RF</v>
      </c>
      <c r="U14" s="58" t="str">
        <f t="shared" si="4"/>
        <v>COL</v>
      </c>
      <c r="V14" s="58" t="str">
        <f>VLOOKUP(U14,BCConc!$L$1:$M$36,2,0)</f>
        <v>Colector</v>
      </c>
    </row>
    <row r="15" spans="1:22" ht="15" customHeight="1">
      <c r="A15" s="7" t="s">
        <v>158</v>
      </c>
      <c r="B15" s="11" t="s">
        <v>24</v>
      </c>
      <c r="C15" s="11" t="s">
        <v>203</v>
      </c>
      <c r="D15" s="8">
        <f>VLOOKUP(C:C,CtrlBat!$A:$D,3,0)</f>
        <v>158.35000000000005</v>
      </c>
      <c r="E15" s="8">
        <f>VLOOKUP(C:C,CtrlBat!$A:$D,4,0)</f>
        <v>369.59999999999997</v>
      </c>
      <c r="F15" s="11">
        <f t="shared" si="1"/>
        <v>527.95000000000005</v>
      </c>
      <c r="G15" s="11" t="str">
        <f>IFERROR(VLOOKUP(C:C,CtrlPozo!$B:$O,10,0),"")</f>
        <v/>
      </c>
      <c r="H15" s="9" t="s">
        <v>100</v>
      </c>
      <c r="I15" s="9">
        <f>VLOOKUP(H:H,LP!$A:$C,3,0)</f>
        <v>3.16</v>
      </c>
      <c r="J15" s="10" t="s">
        <v>13</v>
      </c>
      <c r="K15" s="10" t="s">
        <v>7</v>
      </c>
      <c r="L15" s="34"/>
      <c r="M15" s="34" t="s">
        <v>172</v>
      </c>
      <c r="N15" s="34">
        <f>HLOOKUP(VLOOKUP(J15,BCConc!$B:$D,3,0),$D$1:$G$259,ROW(B15),0)</f>
        <v>158.35000000000005</v>
      </c>
      <c r="O15" s="73">
        <f t="shared" si="0"/>
        <v>11.876250000000004</v>
      </c>
      <c r="P15" s="34">
        <v>75</v>
      </c>
      <c r="Q15" s="34"/>
      <c r="R15" s="58">
        <f t="shared" si="2"/>
        <v>362.22562500000015</v>
      </c>
      <c r="S15" s="58">
        <f t="shared" si="3"/>
        <v>1144.6329750000004</v>
      </c>
      <c r="T15" s="58" t="str">
        <f>VLOOKUP(J15,BCConc!$B:$E,4,0)</f>
        <v>DB</v>
      </c>
      <c r="U15" s="58" t="str">
        <f t="shared" si="4"/>
        <v>BAT</v>
      </c>
      <c r="V15" s="58" t="str">
        <f>VLOOKUP(U15,BCConc!$L$1:$M$36,2,0)</f>
        <v>Bateria</v>
      </c>
    </row>
    <row r="16" spans="1:22" ht="15" customHeight="1">
      <c r="A16" s="7" t="s">
        <v>158</v>
      </c>
      <c r="B16" s="11" t="s">
        <v>24</v>
      </c>
      <c r="C16" s="11" t="s">
        <v>203</v>
      </c>
      <c r="D16" s="8">
        <f>VLOOKUP(C:C,CtrlBat!$A:$D,3,0)</f>
        <v>158.35000000000005</v>
      </c>
      <c r="E16" s="8">
        <f>VLOOKUP(C:C,CtrlBat!$A:$D,4,0)</f>
        <v>369.59999999999997</v>
      </c>
      <c r="F16" s="11">
        <f t="shared" si="1"/>
        <v>527.95000000000005</v>
      </c>
      <c r="G16" s="11" t="str">
        <f>IFERROR(VLOOKUP(C:C,CtrlPozo!$B:$O,10,0),"")</f>
        <v/>
      </c>
      <c r="H16" s="9" t="s">
        <v>100</v>
      </c>
      <c r="I16" s="9">
        <f>VLOOKUP(H:H,LP!$A:$C,3,0)</f>
        <v>3.16</v>
      </c>
      <c r="J16" s="10" t="s">
        <v>103</v>
      </c>
      <c r="K16" s="10" t="s">
        <v>115</v>
      </c>
      <c r="L16" s="34"/>
      <c r="M16" s="34" t="s">
        <v>172</v>
      </c>
      <c r="N16" s="34">
        <f>HLOOKUP(VLOOKUP(J16,BCConc!$B:$D,3,0),$D$1:$G$259,ROW(B16),0)</f>
        <v>527.95000000000005</v>
      </c>
      <c r="O16" s="73">
        <f t="shared" si="0"/>
        <v>26.397500000000004</v>
      </c>
      <c r="P16" s="34">
        <v>50</v>
      </c>
      <c r="Q16" s="34"/>
      <c r="R16" s="58">
        <f t="shared" si="2"/>
        <v>805.12375000000009</v>
      </c>
      <c r="S16" s="58">
        <f t="shared" si="3"/>
        <v>2544.1910500000004</v>
      </c>
      <c r="T16" s="58" t="str">
        <f>VLOOKUP(J16,BCConc!$B:$E,4,0)</f>
        <v>RF</v>
      </c>
      <c r="U16" s="58" t="str">
        <f t="shared" si="4"/>
        <v>BAT</v>
      </c>
      <c r="V16" s="58" t="str">
        <f>VLOOKUP(U16,BCConc!$L$1:$M$36,2,0)</f>
        <v>Bateria</v>
      </c>
    </row>
    <row r="17" spans="1:22" ht="15" customHeight="1">
      <c r="A17" s="7" t="s">
        <v>158</v>
      </c>
      <c r="B17" s="11" t="s">
        <v>121</v>
      </c>
      <c r="C17" s="11"/>
      <c r="D17" s="11">
        <v>697</v>
      </c>
      <c r="E17" s="11">
        <v>3591</v>
      </c>
      <c r="F17" s="11">
        <f t="shared" si="1"/>
        <v>4288</v>
      </c>
      <c r="G17" s="11" t="str">
        <f>IFERROR(VLOOKUP(C:C,CtrlPozo!$B:$O,10,0),"")</f>
        <v/>
      </c>
      <c r="H17" s="9" t="s">
        <v>100</v>
      </c>
      <c r="I17" s="9">
        <f>VLOOKUP(H:H,LP!$A:$C,3,0)</f>
        <v>3.16</v>
      </c>
      <c r="J17" s="10" t="s">
        <v>13</v>
      </c>
      <c r="K17" s="10" t="s">
        <v>122</v>
      </c>
      <c r="L17" s="34"/>
      <c r="M17" s="34" t="s">
        <v>172</v>
      </c>
      <c r="N17" s="34">
        <f>HLOOKUP(VLOOKUP(J17,BCConc!$B:$D,3,0),$D$1:$G$259,ROW(B17),0)</f>
        <v>697</v>
      </c>
      <c r="O17" s="73">
        <f t="shared" si="0"/>
        <v>34.85</v>
      </c>
      <c r="P17" s="34">
        <v>50</v>
      </c>
      <c r="Q17" s="34"/>
      <c r="R17" s="58">
        <f t="shared" si="2"/>
        <v>1062.925</v>
      </c>
      <c r="S17" s="58">
        <f t="shared" si="3"/>
        <v>3358.8429999999998</v>
      </c>
      <c r="T17" s="58" t="str">
        <f>VLOOKUP(J17,BCConc!$B:$E,4,0)</f>
        <v>DB</v>
      </c>
      <c r="U17" s="58" t="str">
        <f t="shared" si="4"/>
        <v>ING</v>
      </c>
      <c r="V17" s="58" t="str">
        <f>VLOOKUP(U17,BCConc!$L$1:$M$36,2,0)</f>
        <v>Planta</v>
      </c>
    </row>
    <row r="18" spans="1:22" ht="15" customHeight="1">
      <c r="A18" s="7" t="s">
        <v>158</v>
      </c>
      <c r="B18" s="11" t="s">
        <v>25</v>
      </c>
      <c r="C18" s="11"/>
      <c r="D18" s="11">
        <v>697</v>
      </c>
      <c r="E18" s="11">
        <v>3591</v>
      </c>
      <c r="F18" s="11">
        <f t="shared" si="1"/>
        <v>4288</v>
      </c>
      <c r="G18" s="11" t="str">
        <f>IFERROR(VLOOKUP(C:C,CtrlPozo!$B:$O,10,0),"")</f>
        <v/>
      </c>
      <c r="H18" s="9" t="s">
        <v>100</v>
      </c>
      <c r="I18" s="9">
        <f>VLOOKUP(H:H,LP!$A:$C,3,0)</f>
        <v>3.16</v>
      </c>
      <c r="J18" s="10" t="s">
        <v>13</v>
      </c>
      <c r="K18" s="10" t="s">
        <v>26</v>
      </c>
      <c r="L18" s="34"/>
      <c r="M18" s="34" t="s">
        <v>172</v>
      </c>
      <c r="N18" s="34">
        <f>HLOOKUP(VLOOKUP(J18,BCConc!$B:$D,3,0),$D$1:$G$259,ROW(B18),0)</f>
        <v>697</v>
      </c>
      <c r="O18" s="73">
        <f t="shared" si="0"/>
        <v>34.85</v>
      </c>
      <c r="P18" s="34">
        <v>50</v>
      </c>
      <c r="Q18" s="34"/>
      <c r="R18" s="58">
        <f t="shared" si="2"/>
        <v>1062.925</v>
      </c>
      <c r="S18" s="58">
        <f t="shared" si="3"/>
        <v>3358.8429999999998</v>
      </c>
      <c r="T18" s="58" t="str">
        <f>VLOOKUP(J18,BCConc!$B:$E,4,0)</f>
        <v>DB</v>
      </c>
      <c r="U18" s="58" t="str">
        <f t="shared" si="4"/>
        <v xml:space="preserve">TK </v>
      </c>
      <c r="V18" s="58" t="str">
        <f>VLOOKUP(U18,BCConc!$L$1:$M$36,2,0)</f>
        <v>Planta</v>
      </c>
    </row>
    <row r="19" spans="1:22" ht="15" customHeight="1">
      <c r="A19" s="7" t="s">
        <v>158</v>
      </c>
      <c r="B19" s="8" t="s">
        <v>27</v>
      </c>
      <c r="C19" s="8"/>
      <c r="D19" s="11">
        <v>697</v>
      </c>
      <c r="E19" s="11">
        <v>3591</v>
      </c>
      <c r="F19" s="11">
        <f t="shared" si="1"/>
        <v>4288</v>
      </c>
      <c r="G19" s="11" t="str">
        <f>IFERROR(VLOOKUP(C:C,CtrlPozo!$B:$O,10,0),"")</f>
        <v/>
      </c>
      <c r="H19" s="12" t="s">
        <v>28</v>
      </c>
      <c r="I19" s="9">
        <f>VLOOKUP(H:H,LP!$A:$C,3,0)</f>
        <v>4.41</v>
      </c>
      <c r="J19" s="10" t="s">
        <v>29</v>
      </c>
      <c r="K19" s="10" t="s">
        <v>26</v>
      </c>
      <c r="L19" s="34"/>
      <c r="M19" s="34" t="s">
        <v>172</v>
      </c>
      <c r="N19" s="34">
        <f>HLOOKUP(VLOOKUP(J19,BCConc!$B:$D,3,0),$D$1:$G$259,ROW(B19),0)</f>
        <v>697</v>
      </c>
      <c r="O19" s="34">
        <f t="shared" si="0"/>
        <v>34.85</v>
      </c>
      <c r="P19" s="34">
        <v>50</v>
      </c>
      <c r="Q19" s="34"/>
      <c r="R19" s="58">
        <f t="shared" si="2"/>
        <v>1062.925</v>
      </c>
      <c r="S19" s="58">
        <f t="shared" si="3"/>
        <v>4687.4992499999998</v>
      </c>
      <c r="T19" s="58" t="str">
        <f>VLOOKUP(J19,BCConc!$B:$E,4,0)</f>
        <v>HS</v>
      </c>
      <c r="U19" s="58" t="str">
        <f t="shared" si="4"/>
        <v xml:space="preserve">TK </v>
      </c>
      <c r="V19" s="58" t="str">
        <f>VLOOKUP(U19,BCConc!$L$1:$M$36,2,0)</f>
        <v>Planta</v>
      </c>
    </row>
    <row r="20" spans="1:22" ht="15" customHeight="1">
      <c r="A20" s="7" t="s">
        <v>158</v>
      </c>
      <c r="B20" s="8" t="s">
        <v>24</v>
      </c>
      <c r="C20" s="8" t="s">
        <v>203</v>
      </c>
      <c r="D20" s="8">
        <f>VLOOKUP(C:C,CtrlBat!$A:$D,3,0)</f>
        <v>158.35000000000005</v>
      </c>
      <c r="E20" s="8">
        <f>VLOOKUP(C:C,CtrlBat!$A:$D,4,0)</f>
        <v>369.59999999999997</v>
      </c>
      <c r="F20" s="11">
        <f t="shared" si="1"/>
        <v>527.95000000000005</v>
      </c>
      <c r="G20" s="11" t="str">
        <f>IFERROR(VLOOKUP(C:C,CtrlPozo!$B:$O,10,0),"")</f>
        <v/>
      </c>
      <c r="H20" s="12" t="s">
        <v>130</v>
      </c>
      <c r="I20" s="9">
        <f>VLOOKUP(H:H,LP!$A:$C,3,0)</f>
        <v>6.04</v>
      </c>
      <c r="J20" s="10" t="s">
        <v>78</v>
      </c>
      <c r="K20" s="10" t="s">
        <v>113</v>
      </c>
      <c r="L20" s="34"/>
      <c r="M20" s="34" t="s">
        <v>172</v>
      </c>
      <c r="N20" s="34">
        <f>HLOOKUP(VLOOKUP(J20,BCConc!$B:$D,3,0),$D$1:$G$259,ROW(B20),0)</f>
        <v>369.59999999999997</v>
      </c>
      <c r="O20" s="34">
        <f t="shared" si="0"/>
        <v>1.8479999999999999</v>
      </c>
      <c r="P20" s="34">
        <v>5</v>
      </c>
      <c r="Q20" s="34"/>
      <c r="R20" s="58">
        <f t="shared" si="2"/>
        <v>56.363999999999997</v>
      </c>
      <c r="S20" s="58">
        <f t="shared" si="3"/>
        <v>340.43856</v>
      </c>
      <c r="T20" s="58" t="str">
        <f>VLOOKUP(J20,BCConc!$B:$E,4,0)</f>
        <v>FB</v>
      </c>
      <c r="U20" s="58" t="str">
        <f t="shared" si="4"/>
        <v>BAT</v>
      </c>
      <c r="V20" s="58" t="str">
        <f>VLOOKUP(U20,BCConc!$L$1:$M$36,2,0)</f>
        <v>Bateria</v>
      </c>
    </row>
    <row r="21" spans="1:22" ht="15" customHeight="1">
      <c r="A21" s="7" t="s">
        <v>158</v>
      </c>
      <c r="B21" s="8" t="s">
        <v>24</v>
      </c>
      <c r="C21" s="8" t="s">
        <v>203</v>
      </c>
      <c r="D21" s="8">
        <f>VLOOKUP(C:C,CtrlBat!$A:$D,3,0)</f>
        <v>158.35000000000005</v>
      </c>
      <c r="E21" s="8">
        <f>VLOOKUP(C:C,CtrlBat!$A:$D,4,0)</f>
        <v>369.59999999999997</v>
      </c>
      <c r="F21" s="11">
        <f t="shared" si="1"/>
        <v>527.95000000000005</v>
      </c>
      <c r="G21" s="11" t="str">
        <f>IFERROR(VLOOKUP(C:C,CtrlPozo!$B:$O,10,0),"")</f>
        <v/>
      </c>
      <c r="H21" s="12" t="s">
        <v>110</v>
      </c>
      <c r="I21" s="9">
        <f>VLOOKUP(H:H,LP!$A:$C,3,0)</f>
        <v>8.3000000000000007</v>
      </c>
      <c r="J21" s="10" t="s">
        <v>111</v>
      </c>
      <c r="K21" s="10" t="s">
        <v>112</v>
      </c>
      <c r="L21" s="34"/>
      <c r="M21" s="34" t="s">
        <v>172</v>
      </c>
      <c r="N21" s="34">
        <f>HLOOKUP(VLOOKUP(J21,BCConc!$B:$D,3,0),$D$1:$G$259,ROW(B21),0)</f>
        <v>369.59999999999997</v>
      </c>
      <c r="O21" s="34">
        <f t="shared" si="0"/>
        <v>5.5439999999999987</v>
      </c>
      <c r="P21" s="34">
        <v>15</v>
      </c>
      <c r="Q21" s="34"/>
      <c r="R21" s="58">
        <f t="shared" si="2"/>
        <v>169.09199999999996</v>
      </c>
      <c r="S21" s="58">
        <f t="shared" si="3"/>
        <v>1403.4635999999998</v>
      </c>
      <c r="T21" s="58" t="str">
        <f>VLOOKUP(J21,BCConc!$B:$E,4,0)</f>
        <v>FB</v>
      </c>
      <c r="U21" s="58" t="str">
        <f t="shared" si="4"/>
        <v>BAT</v>
      </c>
      <c r="V21" s="58" t="str">
        <f>VLOOKUP(U21,BCConc!$L$1:$M$36,2,0)</f>
        <v>Bateria</v>
      </c>
    </row>
    <row r="22" spans="1:22" ht="15" customHeight="1">
      <c r="A22" s="7" t="s">
        <v>158</v>
      </c>
      <c r="B22" s="8" t="s">
        <v>24</v>
      </c>
      <c r="C22" s="8" t="s">
        <v>203</v>
      </c>
      <c r="D22" s="8">
        <f>VLOOKUP(C:C,CtrlBat!$A:$D,3,0)</f>
        <v>158.35000000000005</v>
      </c>
      <c r="E22" s="8">
        <f>VLOOKUP(C:C,CtrlBat!$A:$D,4,0)</f>
        <v>369.59999999999997</v>
      </c>
      <c r="F22" s="11">
        <f t="shared" si="1"/>
        <v>527.95000000000005</v>
      </c>
      <c r="G22" s="11" t="str">
        <f>IFERROR(VLOOKUP(C:C,CtrlPozo!$B:$O,10,0),"")</f>
        <v/>
      </c>
      <c r="H22" s="9" t="s">
        <v>98</v>
      </c>
      <c r="I22" s="9">
        <f>VLOOKUP(H:H,LP!$A:$C,3,0)</f>
        <v>6.94</v>
      </c>
      <c r="J22" s="12" t="s">
        <v>10</v>
      </c>
      <c r="K22" s="10" t="s">
        <v>11</v>
      </c>
      <c r="L22" s="34"/>
      <c r="M22" s="34" t="s">
        <v>172</v>
      </c>
      <c r="N22" s="34">
        <f>HLOOKUP(VLOOKUP(J22,BCConc!$B:$D,3,0),$D$1:$G$259,ROW(B22),0)</f>
        <v>369.59999999999997</v>
      </c>
      <c r="O22" s="34">
        <f t="shared" si="0"/>
        <v>11.087999999999997</v>
      </c>
      <c r="P22" s="34">
        <v>30</v>
      </c>
      <c r="Q22" s="34"/>
      <c r="R22" s="58">
        <f t="shared" si="2"/>
        <v>338.18399999999991</v>
      </c>
      <c r="S22" s="58">
        <f t="shared" si="3"/>
        <v>2346.9969599999995</v>
      </c>
      <c r="T22" s="58" t="str">
        <f>VLOOKUP(J22,BCConc!$B:$E,4,0)</f>
        <v>BX</v>
      </c>
      <c r="U22" s="58" t="str">
        <f t="shared" si="4"/>
        <v>BAT</v>
      </c>
      <c r="V22" s="58" t="str">
        <f>VLOOKUP(U22,BCConc!$L$1:$M$36,2,0)</f>
        <v>Bateria</v>
      </c>
    </row>
    <row r="23" spans="1:22" ht="15" customHeight="1">
      <c r="A23" s="7" t="s">
        <v>158</v>
      </c>
      <c r="B23" s="8" t="s">
        <v>24</v>
      </c>
      <c r="C23" s="8" t="s">
        <v>203</v>
      </c>
      <c r="D23" s="8">
        <f>VLOOKUP(C:C,CtrlBat!$A:$D,3,0)</f>
        <v>158.35000000000005</v>
      </c>
      <c r="E23" s="8">
        <f>VLOOKUP(C:C,CtrlBat!$A:$D,4,0)</f>
        <v>369.59999999999997</v>
      </c>
      <c r="F23" s="11">
        <f t="shared" si="1"/>
        <v>527.95000000000005</v>
      </c>
      <c r="G23" s="11" t="str">
        <f>IFERROR(VLOOKUP(C:C,CtrlPozo!$B:$O,10,0),"")</f>
        <v/>
      </c>
      <c r="H23" s="9" t="s">
        <v>18</v>
      </c>
      <c r="I23" s="9">
        <f>VLOOKUP(H:H,LP!$A:$C,3,0)</f>
        <v>2.65</v>
      </c>
      <c r="J23" s="10" t="s">
        <v>19</v>
      </c>
      <c r="K23" s="10" t="s">
        <v>11</v>
      </c>
      <c r="L23" s="34"/>
      <c r="M23" s="34" t="s">
        <v>172</v>
      </c>
      <c r="N23" s="34">
        <f>HLOOKUP(VLOOKUP(J23,BCConc!$B:$D,3,0),$D$1:$G$259,ROW(B23),0)</f>
        <v>369.59999999999997</v>
      </c>
      <c r="O23" s="34">
        <f t="shared" si="0"/>
        <v>7.3919999999999995</v>
      </c>
      <c r="P23" s="34">
        <v>20</v>
      </c>
      <c r="Q23" s="34"/>
      <c r="R23" s="58">
        <f t="shared" si="2"/>
        <v>225.45599999999999</v>
      </c>
      <c r="S23" s="58">
        <f t="shared" si="3"/>
        <v>597.45839999999998</v>
      </c>
      <c r="T23" s="58" t="str">
        <f>VLOOKUP(J23,BCConc!$B:$E,4,0)</f>
        <v>CY</v>
      </c>
      <c r="U23" s="58" t="str">
        <f t="shared" si="4"/>
        <v>BAT</v>
      </c>
      <c r="V23" s="58" t="str">
        <f>VLOOKUP(U23,BCConc!$L$1:$M$36,2,0)</f>
        <v>Bateria</v>
      </c>
    </row>
    <row r="24" spans="1:22" ht="15" customHeight="1">
      <c r="A24" s="7" t="s">
        <v>158</v>
      </c>
      <c r="B24" s="8" t="s">
        <v>24</v>
      </c>
      <c r="C24" s="8" t="s">
        <v>203</v>
      </c>
      <c r="D24" s="8">
        <f>VLOOKUP(C:C,CtrlBat!$A:$D,3,0)</f>
        <v>158.35000000000005</v>
      </c>
      <c r="E24" s="8">
        <f>VLOOKUP(C:C,CtrlBat!$A:$D,4,0)</f>
        <v>369.59999999999997</v>
      </c>
      <c r="F24" s="11">
        <f t="shared" si="1"/>
        <v>527.95000000000005</v>
      </c>
      <c r="G24" s="11" t="str">
        <f>IFERROR(VLOOKUP(C:C,CtrlPozo!$B:$O,10,0),"")</f>
        <v/>
      </c>
      <c r="H24" s="9" t="s">
        <v>97</v>
      </c>
      <c r="I24" s="9">
        <f>VLOOKUP(H:H,LP!$A:$C,3,0)</f>
        <v>2.19</v>
      </c>
      <c r="J24" s="10" t="s">
        <v>12</v>
      </c>
      <c r="K24" s="10" t="s">
        <v>7</v>
      </c>
      <c r="L24" s="34"/>
      <c r="M24" s="34" t="s">
        <v>172</v>
      </c>
      <c r="N24" s="34">
        <f>HLOOKUP(VLOOKUP(J24,BCConc!$B:$D,3,0),$D$1:$G$259,ROW(B24),0)</f>
        <v>369.59999999999997</v>
      </c>
      <c r="O24" s="34">
        <f t="shared" si="0"/>
        <v>7.3919999999999995</v>
      </c>
      <c r="P24" s="34">
        <v>20</v>
      </c>
      <c r="Q24" s="34"/>
      <c r="R24" s="58">
        <f t="shared" si="2"/>
        <v>225.45599999999999</v>
      </c>
      <c r="S24" s="58">
        <f t="shared" si="3"/>
        <v>493.74863999999997</v>
      </c>
      <c r="T24" s="58" t="str">
        <f>VLOOKUP(J24,BCConc!$B:$E,4,0)</f>
        <v>IC</v>
      </c>
      <c r="U24" s="58" t="str">
        <f t="shared" si="4"/>
        <v>BAT</v>
      </c>
      <c r="V24" s="58" t="str">
        <f>VLOOKUP(U24,BCConc!$L$1:$M$36,2,0)</f>
        <v>Bateria</v>
      </c>
    </row>
    <row r="25" spans="1:22" ht="15" customHeight="1">
      <c r="A25" s="7" t="s">
        <v>158</v>
      </c>
      <c r="B25" s="11" t="s">
        <v>31</v>
      </c>
      <c r="C25" s="11" t="s">
        <v>234</v>
      </c>
      <c r="D25" s="8">
        <f>VLOOKUP(C:C,CtrlBat!$A:$D,3,0)</f>
        <v>87.750000000000014</v>
      </c>
      <c r="E25" s="8">
        <f>VLOOKUP(C:C,CtrlBat!$A:$D,4,0)</f>
        <v>1470.0199999999995</v>
      </c>
      <c r="F25" s="11">
        <f t="shared" si="1"/>
        <v>1557.7699999999995</v>
      </c>
      <c r="G25" s="11" t="str">
        <f>IFERROR(VLOOKUP(C:C,CtrlPozo!$B:$O,10,0),"")</f>
        <v/>
      </c>
      <c r="H25" s="9" t="s">
        <v>9</v>
      </c>
      <c r="I25" s="9">
        <f>VLOOKUP(H:H,LP!$A:$C,3,0)</f>
        <v>5.7</v>
      </c>
      <c r="J25" s="10" t="s">
        <v>10</v>
      </c>
      <c r="K25" s="10" t="s">
        <v>11</v>
      </c>
      <c r="L25" s="34"/>
      <c r="M25" s="34" t="s">
        <v>172</v>
      </c>
      <c r="N25" s="34">
        <f>HLOOKUP(VLOOKUP(J25,BCConc!$B:$D,3,0),$D$1:$G$259,ROW(B25),0)</f>
        <v>1470.0199999999995</v>
      </c>
      <c r="O25" s="34">
        <f t="shared" si="0"/>
        <v>44.100599999999986</v>
      </c>
      <c r="P25" s="34">
        <v>30</v>
      </c>
      <c r="Q25" s="34"/>
      <c r="R25" s="58">
        <f t="shared" si="2"/>
        <v>1345.0682999999995</v>
      </c>
      <c r="S25" s="58">
        <f t="shared" si="3"/>
        <v>7666.8893099999968</v>
      </c>
      <c r="T25" s="58" t="str">
        <f>VLOOKUP(J25,BCConc!$B:$E,4,0)</f>
        <v>BX</v>
      </c>
      <c r="U25" s="58" t="str">
        <f t="shared" si="4"/>
        <v>BAT</v>
      </c>
      <c r="V25" s="58" t="str">
        <f>VLOOKUP(U25,BCConc!$L$1:$M$36,2,0)</f>
        <v>Bateria</v>
      </c>
    </row>
    <row r="26" spans="1:22" ht="15" customHeight="1">
      <c r="A26" s="7" t="s">
        <v>158</v>
      </c>
      <c r="B26" s="11" t="s">
        <v>31</v>
      </c>
      <c r="C26" s="11" t="s">
        <v>234</v>
      </c>
      <c r="D26" s="8">
        <f>VLOOKUP(C:C,CtrlBat!$A:$D,3,0)</f>
        <v>87.750000000000014</v>
      </c>
      <c r="E26" s="8">
        <f>VLOOKUP(C:C,CtrlBat!$A:$D,4,0)</f>
        <v>1470.0199999999995</v>
      </c>
      <c r="F26" s="11">
        <f t="shared" si="1"/>
        <v>1557.7699999999995</v>
      </c>
      <c r="G26" s="11" t="str">
        <f>IFERROR(VLOOKUP(C:C,CtrlPozo!$B:$O,10,0),"")</f>
        <v/>
      </c>
      <c r="H26" s="9" t="s">
        <v>16</v>
      </c>
      <c r="I26" s="9">
        <f>VLOOKUP(H:H,LP!$A:$C,3,0)</f>
        <v>2.5</v>
      </c>
      <c r="J26" s="10" t="s">
        <v>17</v>
      </c>
      <c r="K26" s="10" t="s">
        <v>32</v>
      </c>
      <c r="L26" s="34"/>
      <c r="M26" s="34" t="s">
        <v>172</v>
      </c>
      <c r="N26" s="34">
        <f>HLOOKUP(VLOOKUP(J26,BCConc!$B:$D,3,0),$D$1:$G$259,ROW(B26),0)</f>
        <v>1557.7699999999995</v>
      </c>
      <c r="O26" s="34">
        <f t="shared" si="0"/>
        <v>31.15539999999999</v>
      </c>
      <c r="P26" s="34">
        <v>20</v>
      </c>
      <c r="Q26" s="34"/>
      <c r="R26" s="58">
        <f t="shared" si="2"/>
        <v>950.23969999999963</v>
      </c>
      <c r="S26" s="58">
        <f t="shared" si="3"/>
        <v>2375.5992499999993</v>
      </c>
      <c r="T26" s="58" t="str">
        <f>VLOOKUP(J26,BCConc!$B:$E,4,0)</f>
        <v>AB</v>
      </c>
      <c r="U26" s="58" t="str">
        <f t="shared" si="4"/>
        <v>BAT</v>
      </c>
      <c r="V26" s="58" t="str">
        <f>VLOOKUP(U26,BCConc!$L$1:$M$36,2,0)</f>
        <v>Bateria</v>
      </c>
    </row>
    <row r="27" spans="1:22" ht="15" customHeight="1">
      <c r="A27" s="7" t="s">
        <v>158</v>
      </c>
      <c r="B27" s="11" t="s">
        <v>31</v>
      </c>
      <c r="C27" s="11" t="s">
        <v>234</v>
      </c>
      <c r="D27" s="8">
        <f>VLOOKUP(C:C,CtrlBat!$A:$D,3,0)</f>
        <v>87.750000000000014</v>
      </c>
      <c r="E27" s="8">
        <f>VLOOKUP(C:C,CtrlBat!$A:$D,4,0)</f>
        <v>1470.0199999999995</v>
      </c>
      <c r="F27" s="11">
        <f t="shared" si="1"/>
        <v>1557.7699999999995</v>
      </c>
      <c r="G27" s="11" t="str">
        <f>IFERROR(VLOOKUP(C:C,CtrlPozo!$B:$O,10,0),"")</f>
        <v/>
      </c>
      <c r="H27" s="9" t="s">
        <v>100</v>
      </c>
      <c r="I27" s="9">
        <f>VLOOKUP(H:H,LP!$A:$C,3,0)</f>
        <v>3.16</v>
      </c>
      <c r="J27" s="10" t="s">
        <v>13</v>
      </c>
      <c r="K27" s="10" t="s">
        <v>7</v>
      </c>
      <c r="L27" s="34"/>
      <c r="M27" s="34" t="s">
        <v>172</v>
      </c>
      <c r="N27" s="34">
        <f>HLOOKUP(VLOOKUP(J27,BCConc!$B:$D,3,0),$D$1:$G$259,ROW(B27),0)</f>
        <v>87.750000000000014</v>
      </c>
      <c r="O27" s="73">
        <f t="shared" si="0"/>
        <v>6.5812500000000007</v>
      </c>
      <c r="P27" s="34">
        <v>75</v>
      </c>
      <c r="Q27" s="34"/>
      <c r="R27" s="58">
        <f t="shared" si="2"/>
        <v>200.72812500000003</v>
      </c>
      <c r="S27" s="58">
        <f t="shared" si="3"/>
        <v>634.30087500000013</v>
      </c>
      <c r="T27" s="58" t="str">
        <f>VLOOKUP(J27,BCConc!$B:$E,4,0)</f>
        <v>DB</v>
      </c>
      <c r="U27" s="58" t="str">
        <f t="shared" si="4"/>
        <v>BAT</v>
      </c>
      <c r="V27" s="58" t="str">
        <f>VLOOKUP(U27,BCConc!$L$1:$M$36,2,0)</f>
        <v>Bateria</v>
      </c>
    </row>
    <row r="28" spans="1:22" ht="15" customHeight="1">
      <c r="A28" s="7" t="s">
        <v>158</v>
      </c>
      <c r="B28" s="11" t="s">
        <v>31</v>
      </c>
      <c r="C28" s="11" t="s">
        <v>234</v>
      </c>
      <c r="D28" s="8">
        <f>VLOOKUP(C:C,CtrlBat!$A:$D,3,0)</f>
        <v>87.750000000000014</v>
      </c>
      <c r="E28" s="8">
        <f>VLOOKUP(C:C,CtrlBat!$A:$D,4,0)</f>
        <v>1470.0199999999995</v>
      </c>
      <c r="F28" s="11">
        <f t="shared" si="1"/>
        <v>1557.7699999999995</v>
      </c>
      <c r="G28" s="11" t="str">
        <f>IFERROR(VLOOKUP(C:C,CtrlPozo!$B:$O,10,0),"")</f>
        <v/>
      </c>
      <c r="H28" s="9" t="s">
        <v>97</v>
      </c>
      <c r="I28" s="9">
        <f>VLOOKUP(H:H,LP!$A:$C,3,0)</f>
        <v>2.19</v>
      </c>
      <c r="J28" s="10" t="s">
        <v>12</v>
      </c>
      <c r="K28" s="10" t="s">
        <v>15</v>
      </c>
      <c r="L28" s="34"/>
      <c r="M28" s="34" t="s">
        <v>172</v>
      </c>
      <c r="N28" s="34">
        <f>HLOOKUP(VLOOKUP(J28,BCConc!$B:$D,3,0),$D$1:$G$259,ROW(B28),0)</f>
        <v>1470.0199999999995</v>
      </c>
      <c r="O28" s="34">
        <f t="shared" si="0"/>
        <v>29.400399999999991</v>
      </c>
      <c r="P28" s="34">
        <v>20</v>
      </c>
      <c r="Q28" s="34"/>
      <c r="R28" s="58">
        <f t="shared" si="2"/>
        <v>896.71219999999971</v>
      </c>
      <c r="S28" s="58">
        <f t="shared" si="3"/>
        <v>1963.7997179999993</v>
      </c>
      <c r="T28" s="58" t="str">
        <f>VLOOKUP(J28,BCConc!$B:$E,4,0)</f>
        <v>IC</v>
      </c>
      <c r="U28" s="58" t="str">
        <f t="shared" si="4"/>
        <v>BAT</v>
      </c>
      <c r="V28" s="58" t="str">
        <f>VLOOKUP(U28,BCConc!$L$1:$M$36,2,0)</f>
        <v>Bateria</v>
      </c>
    </row>
    <row r="29" spans="1:22" ht="15" customHeight="1">
      <c r="A29" s="7" t="s">
        <v>158</v>
      </c>
      <c r="B29" s="11" t="s">
        <v>31</v>
      </c>
      <c r="C29" s="11" t="s">
        <v>234</v>
      </c>
      <c r="D29" s="8">
        <f>VLOOKUP(C:C,CtrlBat!$A:$D,3,0)</f>
        <v>87.750000000000014</v>
      </c>
      <c r="E29" s="8">
        <f>VLOOKUP(C:C,CtrlBat!$A:$D,4,0)</f>
        <v>1470.0199999999995</v>
      </c>
      <c r="F29" s="11">
        <f t="shared" si="1"/>
        <v>1557.7699999999995</v>
      </c>
      <c r="G29" s="11" t="str">
        <f>IFERROR(VLOOKUP(C:C,CtrlPozo!$B:$O,10,0),"")</f>
        <v/>
      </c>
      <c r="H29" s="9" t="s">
        <v>132</v>
      </c>
      <c r="I29" s="9">
        <f>VLOOKUP(H:H,LP!$A:$C,3,0)</f>
        <v>5.47</v>
      </c>
      <c r="J29" s="10" t="s">
        <v>14</v>
      </c>
      <c r="K29" s="10" t="s">
        <v>15</v>
      </c>
      <c r="L29" s="34"/>
      <c r="M29" s="34" t="s">
        <v>172</v>
      </c>
      <c r="N29" s="34">
        <f>HLOOKUP(VLOOKUP(J29,BCConc!$B:$D,3,0),$D$1:$G$259,ROW(B29),0)</f>
        <v>1557.7699999999995</v>
      </c>
      <c r="O29" s="34">
        <f t="shared" si="0"/>
        <v>77.888499999999965</v>
      </c>
      <c r="P29" s="34">
        <v>50</v>
      </c>
      <c r="Q29" s="34"/>
      <c r="R29" s="58">
        <f t="shared" si="2"/>
        <v>2375.5992499999988</v>
      </c>
      <c r="S29" s="58">
        <f t="shared" si="3"/>
        <v>12994.527897499993</v>
      </c>
      <c r="T29" s="58" t="str">
        <f>VLOOKUP(J29,BCConc!$B:$E,4,0)</f>
        <v>IP</v>
      </c>
      <c r="U29" s="58" t="str">
        <f t="shared" si="4"/>
        <v>BAT</v>
      </c>
      <c r="V29" s="58" t="str">
        <f>VLOOKUP(U29,BCConc!$L$1:$M$36,2,0)</f>
        <v>Bateria</v>
      </c>
    </row>
    <row r="30" spans="1:22" ht="15" customHeight="1">
      <c r="A30" s="7" t="s">
        <v>158</v>
      </c>
      <c r="B30" s="11" t="s">
        <v>31</v>
      </c>
      <c r="C30" s="11" t="s">
        <v>234</v>
      </c>
      <c r="D30" s="8">
        <f>VLOOKUP(C:C,CtrlBat!$A:$D,3,0)</f>
        <v>87.750000000000014</v>
      </c>
      <c r="E30" s="8">
        <f>VLOOKUP(C:C,CtrlBat!$A:$D,4,0)</f>
        <v>1470.0199999999995</v>
      </c>
      <c r="F30" s="11">
        <f t="shared" si="1"/>
        <v>1557.7699999999995</v>
      </c>
      <c r="G30" s="11" t="str">
        <f>IFERROR(VLOOKUP(C:C,CtrlPozo!$B:$O,10,0),"")</f>
        <v/>
      </c>
      <c r="H30" s="9" t="s">
        <v>16</v>
      </c>
      <c r="I30" s="9">
        <f>VLOOKUP(H:H,LP!$A:$C,3,0)</f>
        <v>2.5</v>
      </c>
      <c r="J30" s="10" t="s">
        <v>17</v>
      </c>
      <c r="K30" s="10" t="s">
        <v>33</v>
      </c>
      <c r="L30" s="34"/>
      <c r="M30" s="34" t="s">
        <v>172</v>
      </c>
      <c r="N30" s="34">
        <f>HLOOKUP(VLOOKUP(J30,BCConc!$B:$D,3,0),$D$1:$G$259,ROW(B30),0)</f>
        <v>1557.7699999999995</v>
      </c>
      <c r="O30" s="34">
        <f t="shared" si="0"/>
        <v>31.15539999999999</v>
      </c>
      <c r="P30" s="34">
        <v>20</v>
      </c>
      <c r="Q30" s="34"/>
      <c r="R30" s="58">
        <f t="shared" si="2"/>
        <v>950.23969999999963</v>
      </c>
      <c r="S30" s="58">
        <f t="shared" si="3"/>
        <v>2375.5992499999993</v>
      </c>
      <c r="T30" s="58" t="str">
        <f>VLOOKUP(J30,BCConc!$B:$E,4,0)</f>
        <v>AB</v>
      </c>
      <c r="U30" s="58" t="str">
        <f t="shared" si="4"/>
        <v>BAT</v>
      </c>
      <c r="V30" s="58" t="str">
        <f>VLOOKUP(U30,BCConc!$L$1:$M$36,2,0)</f>
        <v>Bateria</v>
      </c>
    </row>
    <row r="31" spans="1:22" ht="15" customHeight="1">
      <c r="A31" s="7" t="s">
        <v>158</v>
      </c>
      <c r="B31" s="8" t="s">
        <v>34</v>
      </c>
      <c r="C31" s="8" t="str">
        <f t="shared" ref="C31:C43" si="5">B31</f>
        <v>NCF-0071</v>
      </c>
      <c r="D31" s="8">
        <f>+VLOOKUP(C:C,CtrlPozo!$B:$O,13,0)</f>
        <v>3.39</v>
      </c>
      <c r="E31" s="8">
        <f>+VLOOKUP(C:C,CtrlPozo!$B:$O,12,0)</f>
        <v>3.91</v>
      </c>
      <c r="F31" s="11">
        <f t="shared" si="1"/>
        <v>7.3000000000000007</v>
      </c>
      <c r="G31" s="11">
        <f>IFERROR(VLOOKUP(C:C,CtrlPozo!$B:$O,10,0),"")</f>
        <v>125.22</v>
      </c>
      <c r="H31" s="9" t="s">
        <v>96</v>
      </c>
      <c r="I31" s="9">
        <f>VLOOKUP(H:H,LP!$A:$C,3,0)</f>
        <v>4.25</v>
      </c>
      <c r="J31" s="10" t="s">
        <v>103</v>
      </c>
      <c r="K31" s="10" t="s">
        <v>35</v>
      </c>
      <c r="L31" s="34"/>
      <c r="M31" s="34" t="s">
        <v>172</v>
      </c>
      <c r="N31" s="34">
        <f>HLOOKUP(VLOOKUP(J31,BCConc!$B:$D,3,0),$D$1:$G$259,ROW(B31),0)</f>
        <v>7.3000000000000007</v>
      </c>
      <c r="O31" s="34">
        <f t="shared" si="0"/>
        <v>3.6500000000000004</v>
      </c>
      <c r="P31" s="34">
        <v>500</v>
      </c>
      <c r="Q31" s="34"/>
      <c r="R31" s="58">
        <f t="shared" si="2"/>
        <v>111.32500000000002</v>
      </c>
      <c r="S31" s="58">
        <f t="shared" si="3"/>
        <v>473.13125000000008</v>
      </c>
      <c r="T31" s="58" t="str">
        <f>VLOOKUP(J31,BCConc!$B:$E,4,0)</f>
        <v>RF</v>
      </c>
      <c r="U31" s="58" t="str">
        <f t="shared" si="4"/>
        <v>NCF</v>
      </c>
      <c r="V31" s="58" t="str">
        <f>VLOOKUP(U31,BCConc!$L$1:$M$36,2,0)</f>
        <v>Pozo</v>
      </c>
    </row>
    <row r="32" spans="1:22" ht="15" customHeight="1">
      <c r="A32" s="7" t="s">
        <v>158</v>
      </c>
      <c r="B32" s="13" t="s">
        <v>545</v>
      </c>
      <c r="C32" s="8" t="str">
        <f t="shared" si="5"/>
        <v>NALAt-0002</v>
      </c>
      <c r="D32" s="8">
        <f>+VLOOKUP(C:C,CtrlPozo!$B:$O,13,0)</f>
        <v>0.2</v>
      </c>
      <c r="E32" s="8">
        <f>+VLOOKUP(C:C,CtrlPozo!$B:$O,12,0)</f>
        <v>207.29</v>
      </c>
      <c r="F32" s="11">
        <f t="shared" si="1"/>
        <v>207.48999999999998</v>
      </c>
      <c r="G32" s="11">
        <f>IFERROR(VLOOKUP(C:C,CtrlPozo!$B:$O,10,0),"")</f>
        <v>10</v>
      </c>
      <c r="H32" s="9" t="s">
        <v>131</v>
      </c>
      <c r="I32" s="9">
        <f>VLOOKUP(H:H,LP!$A:$C,3,0)</f>
        <v>4.8099999999999996</v>
      </c>
      <c r="J32" s="10" t="s">
        <v>12</v>
      </c>
      <c r="K32" s="10" t="s">
        <v>36</v>
      </c>
      <c r="L32" s="34"/>
      <c r="M32" s="34" t="s">
        <v>172</v>
      </c>
      <c r="N32" s="34">
        <f>HLOOKUP(VLOOKUP(J32,BCConc!$B:$D,3,0),$D$1:$G$259,ROW(B32),0)</f>
        <v>207.29</v>
      </c>
      <c r="O32" s="34">
        <f t="shared" si="0"/>
        <v>4.1458000000000004</v>
      </c>
      <c r="P32" s="34">
        <v>20</v>
      </c>
      <c r="Q32" s="34"/>
      <c r="R32" s="58">
        <f t="shared" si="2"/>
        <v>126.44690000000001</v>
      </c>
      <c r="S32" s="58">
        <f t="shared" si="3"/>
        <v>608.20958900000005</v>
      </c>
      <c r="T32" s="58" t="str">
        <f>VLOOKUP(J32,BCConc!$B:$E,4,0)</f>
        <v>IC</v>
      </c>
      <c r="U32" s="58" t="str">
        <f t="shared" si="4"/>
        <v>NAL</v>
      </c>
      <c r="V32" s="58" t="str">
        <f>VLOOKUP(U32,BCConc!$L$1:$M$36,2,0)</f>
        <v>Pozo</v>
      </c>
    </row>
    <row r="33" spans="1:22" ht="15" customHeight="1">
      <c r="A33" s="7" t="s">
        <v>158</v>
      </c>
      <c r="B33" s="14" t="s">
        <v>633</v>
      </c>
      <c r="C33" s="8" t="str">
        <f t="shared" si="5"/>
        <v>NALAt-0001</v>
      </c>
      <c r="D33" s="8">
        <f>+VLOOKUP(C:C,CtrlPozo!$B:$O,13,0)</f>
        <v>0.21</v>
      </c>
      <c r="E33" s="8">
        <f>+VLOOKUP(C:C,CtrlPozo!$B:$O,12,0)</f>
        <v>214.95</v>
      </c>
      <c r="F33" s="11">
        <f t="shared" si="1"/>
        <v>215.16</v>
      </c>
      <c r="G33" s="11">
        <f>IFERROR(VLOOKUP(C:C,CtrlPozo!$B:$O,10,0),"")</f>
        <v>10</v>
      </c>
      <c r="H33" s="9" t="s">
        <v>131</v>
      </c>
      <c r="I33" s="9">
        <f>VLOOKUP(H:H,LP!$A:$C,3,0)</f>
        <v>4.8099999999999996</v>
      </c>
      <c r="J33" s="10" t="s">
        <v>12</v>
      </c>
      <c r="K33" s="10" t="s">
        <v>36</v>
      </c>
      <c r="L33" s="34"/>
      <c r="M33" s="34" t="s">
        <v>172</v>
      </c>
      <c r="N33" s="34">
        <f>HLOOKUP(VLOOKUP(J33,BCConc!$B:$D,3,0),$D$1:$G$259,ROW(B33),0)</f>
        <v>214.95</v>
      </c>
      <c r="O33" s="34">
        <f t="shared" si="0"/>
        <v>4.2990000000000004</v>
      </c>
      <c r="P33" s="34">
        <v>20</v>
      </c>
      <c r="Q33" s="34"/>
      <c r="R33" s="58">
        <f t="shared" si="2"/>
        <v>131.11950000000002</v>
      </c>
      <c r="S33" s="58">
        <f t="shared" si="3"/>
        <v>630.68479500000001</v>
      </c>
      <c r="T33" s="58" t="str">
        <f>VLOOKUP(J33,BCConc!$B:$E,4,0)</f>
        <v>IC</v>
      </c>
      <c r="U33" s="58" t="str">
        <f t="shared" si="4"/>
        <v>NAL</v>
      </c>
      <c r="V33" s="58" t="str">
        <f>VLOOKUP(U33,BCConc!$L$1:$M$36,2,0)</f>
        <v>Pozo</v>
      </c>
    </row>
    <row r="34" spans="1:22" ht="15" customHeight="1">
      <c r="A34" s="7" t="s">
        <v>158</v>
      </c>
      <c r="B34" s="1" t="s">
        <v>1171</v>
      </c>
      <c r="C34" s="8" t="str">
        <f t="shared" si="5"/>
        <v>ALAt-3(d)</v>
      </c>
      <c r="D34" s="8">
        <f>+VLOOKUP(C:C,CtrlPozo!$B:$O,13,0)</f>
        <v>7.0000000000000007E-2</v>
      </c>
      <c r="E34" s="8">
        <f>+VLOOKUP(C:C,CtrlPozo!$B:$O,12,0)</f>
        <v>67.010000000000005</v>
      </c>
      <c r="F34" s="11">
        <f t="shared" si="1"/>
        <v>67.08</v>
      </c>
      <c r="G34" s="11">
        <f>IFERROR(VLOOKUP(C:C,CtrlPozo!$B:$O,10,0),"")</f>
        <v>10</v>
      </c>
      <c r="H34" s="9" t="s">
        <v>131</v>
      </c>
      <c r="I34" s="9">
        <f>VLOOKUP(H:H,LP!$A:$C,3,0)</f>
        <v>4.8099999999999996</v>
      </c>
      <c r="J34" s="10" t="s">
        <v>12</v>
      </c>
      <c r="K34" s="10" t="s">
        <v>36</v>
      </c>
      <c r="L34" s="34"/>
      <c r="M34" s="34" t="s">
        <v>172</v>
      </c>
      <c r="N34" s="34">
        <f>HLOOKUP(VLOOKUP(J34,BCConc!$B:$D,3,0),$D$1:$G$259,ROW(B34),0)</f>
        <v>67.010000000000005</v>
      </c>
      <c r="O34" s="34">
        <f t="shared" si="0"/>
        <v>1.3402000000000001</v>
      </c>
      <c r="P34" s="34">
        <v>20</v>
      </c>
      <c r="Q34" s="34"/>
      <c r="R34" s="58">
        <f t="shared" si="2"/>
        <v>40.876100000000001</v>
      </c>
      <c r="S34" s="58">
        <f t="shared" si="3"/>
        <v>196.61404099999999</v>
      </c>
      <c r="T34" s="58" t="str">
        <f>VLOOKUP(J34,BCConc!$B:$E,4,0)</f>
        <v>IC</v>
      </c>
      <c r="U34" s="58" t="str">
        <f t="shared" si="4"/>
        <v>ALA</v>
      </c>
      <c r="V34" s="58" t="str">
        <f>VLOOKUP(U34,BCConc!$L$1:$M$36,2,0)</f>
        <v>Pozo</v>
      </c>
    </row>
    <row r="35" spans="1:22" ht="15" customHeight="1">
      <c r="A35" s="7" t="s">
        <v>158</v>
      </c>
      <c r="B35" s="1" t="s">
        <v>1177</v>
      </c>
      <c r="C35" s="8" t="str">
        <f t="shared" si="5"/>
        <v>ALAt-5(d)</v>
      </c>
      <c r="D35" s="8">
        <f>+VLOOKUP(C:C,CtrlPozo!$B:$O,13,0)</f>
        <v>0.52</v>
      </c>
      <c r="E35" s="8">
        <f>+VLOOKUP(C:C,CtrlPozo!$B:$O,12,0)</f>
        <v>102.49</v>
      </c>
      <c r="F35" s="11">
        <f t="shared" si="1"/>
        <v>103.00999999999999</v>
      </c>
      <c r="G35" s="11">
        <f>IFERROR(VLOOKUP(C:C,CtrlPozo!$B:$O,10,0),"")</f>
        <v>10</v>
      </c>
      <c r="H35" s="9" t="s">
        <v>131</v>
      </c>
      <c r="I35" s="9">
        <f>VLOOKUP(H:H,LP!$A:$C,3,0)</f>
        <v>4.8099999999999996</v>
      </c>
      <c r="J35" s="10" t="s">
        <v>12</v>
      </c>
      <c r="K35" s="10" t="s">
        <v>36</v>
      </c>
      <c r="L35" s="34"/>
      <c r="M35" s="34" t="s">
        <v>172</v>
      </c>
      <c r="N35" s="34">
        <f>HLOOKUP(VLOOKUP(J35,BCConc!$B:$D,3,0),$D$1:$G$259,ROW(B35),0)</f>
        <v>102.49</v>
      </c>
      <c r="O35" s="34">
        <f t="shared" ref="O35:O60" si="6">P35*N35/1000</f>
        <v>2.0497999999999998</v>
      </c>
      <c r="P35" s="34">
        <v>20</v>
      </c>
      <c r="Q35" s="34"/>
      <c r="R35" s="58">
        <f t="shared" si="2"/>
        <v>62.518899999999995</v>
      </c>
      <c r="S35" s="58">
        <f t="shared" si="3"/>
        <v>300.71590899999995</v>
      </c>
      <c r="T35" s="58" t="str">
        <f>VLOOKUP(J35,BCConc!$B:$E,4,0)</f>
        <v>IC</v>
      </c>
      <c r="U35" s="58" t="str">
        <f t="shared" si="4"/>
        <v>ALA</v>
      </c>
      <c r="V35" s="58" t="str">
        <f>VLOOKUP(U35,BCConc!$L$1:$M$36,2,0)</f>
        <v>Pozo</v>
      </c>
    </row>
    <row r="36" spans="1:22" ht="15" customHeight="1">
      <c r="A36" s="7" t="s">
        <v>158</v>
      </c>
      <c r="B36" s="1" t="s">
        <v>1179</v>
      </c>
      <c r="C36" s="8" t="str">
        <f t="shared" si="5"/>
        <v>ALAt-7(d)</v>
      </c>
      <c r="D36" s="8">
        <f>+VLOOKUP(C:C,CtrlPozo!$B:$O,13,0)</f>
        <v>0.18</v>
      </c>
      <c r="E36" s="8">
        <f>+VLOOKUP(C:C,CtrlPozo!$B:$O,12,0)</f>
        <v>178.81</v>
      </c>
      <c r="F36" s="11">
        <f t="shared" si="1"/>
        <v>178.99</v>
      </c>
      <c r="G36" s="11">
        <f>IFERROR(VLOOKUP(C:C,CtrlPozo!$B:$O,10,0),"")</f>
        <v>82.99</v>
      </c>
      <c r="H36" s="9" t="s">
        <v>131</v>
      </c>
      <c r="I36" s="9">
        <f>VLOOKUP(H:H,LP!$A:$C,3,0)</f>
        <v>4.8099999999999996</v>
      </c>
      <c r="J36" s="10" t="s">
        <v>12</v>
      </c>
      <c r="K36" s="10" t="s">
        <v>36</v>
      </c>
      <c r="L36" s="34"/>
      <c r="M36" s="34" t="s">
        <v>172</v>
      </c>
      <c r="N36" s="34">
        <f>HLOOKUP(VLOOKUP(J36,BCConc!$B:$D,3,0),$D$1:$G$259,ROW(B36),0)</f>
        <v>178.81</v>
      </c>
      <c r="O36" s="34">
        <f t="shared" si="6"/>
        <v>3.5761999999999996</v>
      </c>
      <c r="P36" s="34">
        <v>20</v>
      </c>
      <c r="Q36" s="34"/>
      <c r="R36" s="58">
        <f t="shared" si="2"/>
        <v>109.07409999999999</v>
      </c>
      <c r="S36" s="58">
        <f t="shared" si="3"/>
        <v>524.64642099999992</v>
      </c>
      <c r="T36" s="58" t="str">
        <f>VLOOKUP(J36,BCConc!$B:$E,4,0)</f>
        <v>IC</v>
      </c>
      <c r="U36" s="58" t="str">
        <f t="shared" si="4"/>
        <v>ALA</v>
      </c>
      <c r="V36" s="58" t="str">
        <f>VLOOKUP(U36,BCConc!$L$1:$M$36,2,0)</f>
        <v>Pozo</v>
      </c>
    </row>
    <row r="37" spans="1:22" ht="15" customHeight="1">
      <c r="A37" s="7" t="s">
        <v>158</v>
      </c>
      <c r="B37" s="14" t="s">
        <v>904</v>
      </c>
      <c r="C37" s="8" t="str">
        <f t="shared" si="5"/>
        <v>NCFE-0002</v>
      </c>
      <c r="D37" s="8">
        <f>+VLOOKUP(C:C,CtrlPozo!$B:$O,13,0)</f>
        <v>0.17</v>
      </c>
      <c r="E37" s="8">
        <f>+VLOOKUP(C:C,CtrlPozo!$B:$O,12,0)</f>
        <v>175.72</v>
      </c>
      <c r="F37" s="11">
        <f t="shared" si="1"/>
        <v>175.89</v>
      </c>
      <c r="G37" s="11">
        <f>IFERROR(VLOOKUP(C:C,CtrlPozo!$B:$O,10,0),"")</f>
        <v>465.5</v>
      </c>
      <c r="H37" s="9" t="s">
        <v>131</v>
      </c>
      <c r="I37" s="9">
        <f>VLOOKUP(H:H,LP!$A:$C,3,0)</f>
        <v>4.8099999999999996</v>
      </c>
      <c r="J37" s="10" t="s">
        <v>12</v>
      </c>
      <c r="K37" s="10" t="s">
        <v>36</v>
      </c>
      <c r="L37" s="34"/>
      <c r="M37" s="34" t="s">
        <v>172</v>
      </c>
      <c r="N37" s="34">
        <f>HLOOKUP(VLOOKUP(J37,BCConc!$B:$D,3,0),$D$1:$G$259,ROW(B37),0)</f>
        <v>175.72</v>
      </c>
      <c r="O37" s="34">
        <f t="shared" si="6"/>
        <v>3.5144000000000002</v>
      </c>
      <c r="P37" s="34">
        <v>20</v>
      </c>
      <c r="Q37" s="34"/>
      <c r="R37" s="58">
        <f t="shared" si="2"/>
        <v>107.1892</v>
      </c>
      <c r="S37" s="58">
        <f t="shared" si="3"/>
        <v>515.58005199999991</v>
      </c>
      <c r="T37" s="58" t="str">
        <f>VLOOKUP(J37,BCConc!$B:$E,4,0)</f>
        <v>IC</v>
      </c>
      <c r="U37" s="58" t="str">
        <f t="shared" si="4"/>
        <v>NCF</v>
      </c>
      <c r="V37" s="58" t="str">
        <f>VLOOKUP(U37,BCConc!$L$1:$M$36,2,0)</f>
        <v>Pozo</v>
      </c>
    </row>
    <row r="38" spans="1:22" ht="15" customHeight="1">
      <c r="A38" s="7" t="s">
        <v>158</v>
      </c>
      <c r="B38" s="13" t="s">
        <v>140</v>
      </c>
      <c r="C38" s="8" t="str">
        <f t="shared" si="5"/>
        <v>NCF-0081</v>
      </c>
      <c r="D38" s="8">
        <f>+VLOOKUP(C:C,CtrlPozo!$B:$O,13,0)</f>
        <v>0.93</v>
      </c>
      <c r="E38" s="8">
        <f>+VLOOKUP(C:C,CtrlPozo!$B:$O,12,0)</f>
        <v>91.77</v>
      </c>
      <c r="F38" s="11">
        <f t="shared" si="1"/>
        <v>92.7</v>
      </c>
      <c r="G38" s="11">
        <f>IFERROR(VLOOKUP(C:C,CtrlPozo!$B:$O,10,0),"")</f>
        <v>10</v>
      </c>
      <c r="H38" s="9" t="s">
        <v>131</v>
      </c>
      <c r="I38" s="9">
        <f>VLOOKUP(H:H,LP!$A:$C,3,0)</f>
        <v>4.8099999999999996</v>
      </c>
      <c r="J38" s="10" t="s">
        <v>12</v>
      </c>
      <c r="K38" s="10" t="s">
        <v>36</v>
      </c>
      <c r="L38" s="34"/>
      <c r="M38" s="34" t="s">
        <v>172</v>
      </c>
      <c r="N38" s="34">
        <f>HLOOKUP(VLOOKUP(J38,BCConc!$B:$D,3,0),$D$1:$G$259,ROW(B38),0)</f>
        <v>91.77</v>
      </c>
      <c r="O38" s="34">
        <f t="shared" si="6"/>
        <v>1.8353999999999999</v>
      </c>
      <c r="P38" s="34">
        <v>20</v>
      </c>
      <c r="Q38" s="34"/>
      <c r="R38" s="58">
        <f t="shared" si="2"/>
        <v>55.979699999999994</v>
      </c>
      <c r="S38" s="58">
        <f t="shared" si="3"/>
        <v>269.26235699999995</v>
      </c>
      <c r="T38" s="58" t="str">
        <f>VLOOKUP(J38,BCConc!$B:$E,4,0)</f>
        <v>IC</v>
      </c>
      <c r="U38" s="58" t="str">
        <f t="shared" si="4"/>
        <v>NCF</v>
      </c>
      <c r="V38" s="58" t="str">
        <f>VLOOKUP(U38,BCConc!$L$1:$M$36,2,0)</f>
        <v>Pozo</v>
      </c>
    </row>
    <row r="39" spans="1:22" ht="15" customHeight="1">
      <c r="A39" s="7" t="s">
        <v>158</v>
      </c>
      <c r="B39" s="13" t="s">
        <v>822</v>
      </c>
      <c r="C39" s="8" t="str">
        <f t="shared" si="5"/>
        <v>NCF-181</v>
      </c>
      <c r="D39" s="8">
        <f>+VLOOKUP(C:C,CtrlPozo!$B:$O,13,0)</f>
        <v>3.07</v>
      </c>
      <c r="E39" s="8">
        <f>+VLOOKUP(C:C,CtrlPozo!$B:$O,12,0)</f>
        <v>39.71</v>
      </c>
      <c r="F39" s="11">
        <f t="shared" si="1"/>
        <v>42.78</v>
      </c>
      <c r="G39" s="11">
        <f>IFERROR(VLOOKUP(C:C,CtrlPozo!$B:$O,10,0),"")</f>
        <v>257</v>
      </c>
      <c r="H39" s="9" t="s">
        <v>18</v>
      </c>
      <c r="I39" s="9">
        <f>VLOOKUP(H:H,LP!$A:$C,3,0)</f>
        <v>2.65</v>
      </c>
      <c r="J39" s="10" t="s">
        <v>19</v>
      </c>
      <c r="K39" s="10" t="s">
        <v>36</v>
      </c>
      <c r="L39" s="34"/>
      <c r="M39" s="34" t="s">
        <v>172</v>
      </c>
      <c r="N39" s="34">
        <f>HLOOKUP(VLOOKUP(J39,BCConc!$B:$D,3,0),$D$1:$G$259,ROW(B39),0)</f>
        <v>39.71</v>
      </c>
      <c r="O39" s="34">
        <f t="shared" si="6"/>
        <v>0.79420000000000002</v>
      </c>
      <c r="P39" s="34">
        <v>20</v>
      </c>
      <c r="Q39" s="34"/>
      <c r="R39" s="58">
        <f t="shared" si="2"/>
        <v>24.223100000000002</v>
      </c>
      <c r="S39" s="58">
        <f t="shared" si="3"/>
        <v>64.191215</v>
      </c>
      <c r="T39" s="58" t="str">
        <f>VLOOKUP(J39,BCConc!$B:$E,4,0)</f>
        <v>CY</v>
      </c>
      <c r="U39" s="58" t="str">
        <f t="shared" si="4"/>
        <v>NCF</v>
      </c>
      <c r="V39" s="58" t="str">
        <f>VLOOKUP(U39,BCConc!$L$1:$M$36,2,0)</f>
        <v>Pozo</v>
      </c>
    </row>
    <row r="40" spans="1:22" ht="15" customHeight="1">
      <c r="A40" s="7" t="s">
        <v>158</v>
      </c>
      <c r="B40" s="13" t="s">
        <v>830</v>
      </c>
      <c r="C40" s="8" t="str">
        <f t="shared" si="5"/>
        <v>NCF-182</v>
      </c>
      <c r="D40" s="8">
        <f>+VLOOKUP(C:C,CtrlPozo!$B:$O,13,0)</f>
        <v>6.47</v>
      </c>
      <c r="E40" s="8">
        <f>+VLOOKUP(C:C,CtrlPozo!$B:$O,12,0)</f>
        <v>50.28</v>
      </c>
      <c r="F40" s="11">
        <f t="shared" si="1"/>
        <v>56.75</v>
      </c>
      <c r="G40" s="11">
        <f>IFERROR(VLOOKUP(C:C,CtrlPozo!$B:$O,10,0),"")</f>
        <v>100</v>
      </c>
      <c r="H40" s="9" t="s">
        <v>131</v>
      </c>
      <c r="I40" s="9">
        <f>VLOOKUP(H:H,LP!$A:$C,3,0)</f>
        <v>4.8099999999999996</v>
      </c>
      <c r="J40" s="10" t="s">
        <v>12</v>
      </c>
      <c r="K40" s="10" t="s">
        <v>36</v>
      </c>
      <c r="L40" s="34"/>
      <c r="M40" s="34" t="s">
        <v>172</v>
      </c>
      <c r="N40" s="34">
        <f>HLOOKUP(VLOOKUP(J40,BCConc!$B:$D,3,0),$D$1:$G$259,ROW(B40),0)</f>
        <v>50.28</v>
      </c>
      <c r="O40" s="34">
        <f t="shared" si="6"/>
        <v>2.0112000000000001</v>
      </c>
      <c r="P40" s="34">
        <v>40</v>
      </c>
      <c r="Q40" s="34"/>
      <c r="R40" s="58">
        <f t="shared" si="2"/>
        <v>61.3416</v>
      </c>
      <c r="S40" s="58">
        <f t="shared" si="3"/>
        <v>295.05309599999998</v>
      </c>
      <c r="T40" s="58" t="str">
        <f>VLOOKUP(J40,BCConc!$B:$E,4,0)</f>
        <v>IC</v>
      </c>
      <c r="U40" s="58" t="str">
        <f t="shared" si="4"/>
        <v>NCF</v>
      </c>
      <c r="V40" s="58" t="str">
        <f>VLOOKUP(U40,BCConc!$L$1:$M$36,2,0)</f>
        <v>Pozo</v>
      </c>
    </row>
    <row r="41" spans="1:22" ht="15" customHeight="1">
      <c r="A41" s="7" t="s">
        <v>158</v>
      </c>
      <c r="B41" s="13" t="s">
        <v>918</v>
      </c>
      <c r="C41" s="8" t="str">
        <f t="shared" si="5"/>
        <v>NCF-194</v>
      </c>
      <c r="D41" s="8">
        <f>+VLOOKUP(C:C,CtrlPozo!$B:$O,13,0)</f>
        <v>4.5199999999999996</v>
      </c>
      <c r="E41" s="8">
        <f>+VLOOKUP(C:C,CtrlPozo!$B:$O,12,0)</f>
        <v>82.01</v>
      </c>
      <c r="F41" s="11">
        <f t="shared" si="1"/>
        <v>86.53</v>
      </c>
      <c r="G41" s="11">
        <f>IFERROR(VLOOKUP(C:C,CtrlPozo!$B:$O,10,0),"")</f>
        <v>100</v>
      </c>
      <c r="H41" s="9" t="s">
        <v>131</v>
      </c>
      <c r="I41" s="9">
        <f>VLOOKUP(H:H,LP!$A:$C,3,0)</f>
        <v>4.8099999999999996</v>
      </c>
      <c r="J41" s="10" t="s">
        <v>12</v>
      </c>
      <c r="K41" s="10" t="s">
        <v>36</v>
      </c>
      <c r="L41" s="34"/>
      <c r="M41" s="34" t="s">
        <v>172</v>
      </c>
      <c r="N41" s="34">
        <f>HLOOKUP(VLOOKUP(J41,BCConc!$B:$D,3,0),$D$1:$G$259,ROW(B41),0)</f>
        <v>82.01</v>
      </c>
      <c r="O41" s="34">
        <f t="shared" si="6"/>
        <v>3.2804000000000002</v>
      </c>
      <c r="P41" s="34">
        <v>40</v>
      </c>
      <c r="Q41" s="34"/>
      <c r="R41" s="58">
        <f t="shared" si="2"/>
        <v>100.0522</v>
      </c>
      <c r="S41" s="58">
        <f t="shared" si="3"/>
        <v>481.25108199999994</v>
      </c>
      <c r="T41" s="58" t="str">
        <f>VLOOKUP(J41,BCConc!$B:$E,4,0)</f>
        <v>IC</v>
      </c>
      <c r="U41" s="58" t="str">
        <f t="shared" si="4"/>
        <v>NCF</v>
      </c>
      <c r="V41" s="58" t="str">
        <f>VLOOKUP(U41,BCConc!$L$1:$M$36,2,0)</f>
        <v>Pozo</v>
      </c>
    </row>
    <row r="42" spans="1:22" ht="15" customHeight="1">
      <c r="A42" s="7" t="s">
        <v>158</v>
      </c>
      <c r="B42" s="13" t="s">
        <v>1061</v>
      </c>
      <c r="C42" s="8" t="str">
        <f t="shared" si="5"/>
        <v>CF-249(d)</v>
      </c>
      <c r="D42" s="8">
        <f>+VLOOKUP(C:C,CtrlPozo!$B:$O,13,0)</f>
        <v>6.59</v>
      </c>
      <c r="E42" s="8">
        <f>+VLOOKUP(C:C,CtrlPozo!$B:$O,12,0)</f>
        <v>38.299999999999997</v>
      </c>
      <c r="F42" s="11">
        <f t="shared" si="1"/>
        <v>44.89</v>
      </c>
      <c r="G42" s="11">
        <f>IFERROR(VLOOKUP(C:C,CtrlPozo!$B:$O,10,0),"")</f>
        <v>673.6</v>
      </c>
      <c r="H42" s="9" t="s">
        <v>131</v>
      </c>
      <c r="I42" s="9">
        <f>VLOOKUP(H:H,LP!$A:$C,3,0)</f>
        <v>4.8099999999999996</v>
      </c>
      <c r="J42" s="10" t="s">
        <v>12</v>
      </c>
      <c r="K42" s="10" t="s">
        <v>36</v>
      </c>
      <c r="L42" s="34"/>
      <c r="M42" s="34" t="s">
        <v>172</v>
      </c>
      <c r="N42" s="34">
        <f>HLOOKUP(VLOOKUP(J42,BCConc!$B:$D,3,0),$D$1:$G$259,ROW(B42),0)</f>
        <v>38.299999999999997</v>
      </c>
      <c r="O42" s="34">
        <f t="shared" si="6"/>
        <v>1.532</v>
      </c>
      <c r="P42" s="34">
        <v>40</v>
      </c>
      <c r="Q42" s="34"/>
      <c r="R42" s="58">
        <f t="shared" si="2"/>
        <v>46.725999999999999</v>
      </c>
      <c r="S42" s="58">
        <f t="shared" si="3"/>
        <v>224.75205999999997</v>
      </c>
      <c r="T42" s="58" t="str">
        <f>VLOOKUP(J42,BCConc!$B:$E,4,0)</f>
        <v>IC</v>
      </c>
      <c r="U42" s="58" t="str">
        <f t="shared" si="4"/>
        <v>CF-</v>
      </c>
      <c r="V42" s="58" t="str">
        <f>VLOOKUP(U42,BCConc!$L$1:$M$36,2,0)</f>
        <v>Pozo</v>
      </c>
    </row>
    <row r="43" spans="1:22" ht="15" customHeight="1">
      <c r="A43" s="7" t="s">
        <v>158</v>
      </c>
      <c r="B43" s="11" t="s">
        <v>200</v>
      </c>
      <c r="C43" s="8" t="str">
        <f t="shared" si="5"/>
        <v>NCF-0007</v>
      </c>
      <c r="D43" s="8">
        <f>+VLOOKUP(C:C,CtrlPozo!$B:$O,13,0)</f>
        <v>0.56999999999999995</v>
      </c>
      <c r="E43" s="8">
        <f>+VLOOKUP(C:C,CtrlPozo!$B:$O,12,0)</f>
        <v>4.63</v>
      </c>
      <c r="F43" s="11">
        <f t="shared" si="1"/>
        <v>5.2</v>
      </c>
      <c r="G43" s="11">
        <f>IFERROR(VLOOKUP(C:C,CtrlPozo!$B:$O,10,0),"")</f>
        <v>49235</v>
      </c>
      <c r="H43" s="9" t="s">
        <v>16</v>
      </c>
      <c r="I43" s="9">
        <f>VLOOKUP(H:H,LP!$A:$C,3,0)</f>
        <v>2.5</v>
      </c>
      <c r="J43" s="12" t="s">
        <v>17</v>
      </c>
      <c r="K43" s="10" t="s">
        <v>35</v>
      </c>
      <c r="L43" s="34"/>
      <c r="M43" s="34" t="s">
        <v>172</v>
      </c>
      <c r="N43" s="34">
        <f>HLOOKUP(VLOOKUP(J43,BCConc!$B:$D,3,0),$D$1:$G$259,ROW(B43),0)</f>
        <v>5.2</v>
      </c>
      <c r="O43" s="34">
        <f t="shared" si="6"/>
        <v>0.104</v>
      </c>
      <c r="P43" s="34">
        <v>20</v>
      </c>
      <c r="Q43" s="34"/>
      <c r="R43" s="58">
        <f t="shared" si="2"/>
        <v>3.1719999999999997</v>
      </c>
      <c r="S43" s="58">
        <f t="shared" si="3"/>
        <v>7.93</v>
      </c>
      <c r="T43" s="58" t="str">
        <f>VLOOKUP(J43,BCConc!$B:$E,4,0)</f>
        <v>AB</v>
      </c>
      <c r="U43" s="58" t="str">
        <f t="shared" si="4"/>
        <v>NCF</v>
      </c>
      <c r="V43" s="58" t="str">
        <f>VLOOKUP(U43,BCConc!$L$1:$M$36,2,0)</f>
        <v>Pozo</v>
      </c>
    </row>
    <row r="44" spans="1:22" ht="15" customHeight="1">
      <c r="A44" s="7" t="s">
        <v>158</v>
      </c>
      <c r="B44" s="8" t="s">
        <v>37</v>
      </c>
      <c r="C44" s="8"/>
      <c r="D44" s="11">
        <f>0.25*697</f>
        <v>174.25</v>
      </c>
      <c r="E44" s="11">
        <f>0.25*3591</f>
        <v>897.75</v>
      </c>
      <c r="F44" s="11">
        <f t="shared" si="1"/>
        <v>1072</v>
      </c>
      <c r="G44" s="11" t="str">
        <f>IFERROR(VLOOKUP(C:C,CtrlPozo!$B:$O,10,0),"")</f>
        <v/>
      </c>
      <c r="H44" s="9" t="s">
        <v>96</v>
      </c>
      <c r="I44" s="9">
        <f>VLOOKUP(H:H,LP!$A:$C,3,0)</f>
        <v>4.25</v>
      </c>
      <c r="J44" s="10" t="s">
        <v>103</v>
      </c>
      <c r="K44" s="10" t="s">
        <v>15</v>
      </c>
      <c r="L44" s="34"/>
      <c r="M44" s="34" t="s">
        <v>172</v>
      </c>
      <c r="N44" s="34">
        <f>HLOOKUP(VLOOKUP(J44,BCConc!$B:$D,3,0),$D$1:$G$259,ROW(B44),0)</f>
        <v>1072</v>
      </c>
      <c r="O44" s="34">
        <f t="shared" si="6"/>
        <v>53.6</v>
      </c>
      <c r="P44" s="34">
        <v>50</v>
      </c>
      <c r="Q44" s="34"/>
      <c r="R44" s="58">
        <f t="shared" si="2"/>
        <v>1634.8</v>
      </c>
      <c r="S44" s="58">
        <f t="shared" si="3"/>
        <v>6947.9</v>
      </c>
      <c r="T44" s="58" t="str">
        <f>VLOOKUP(J44,BCConc!$B:$E,4,0)</f>
        <v>RF</v>
      </c>
      <c r="U44" s="58" t="str">
        <f t="shared" si="4"/>
        <v>CAL</v>
      </c>
      <c r="V44" s="58" t="str">
        <f>VLOOKUP(U44,BCConc!$L$1:$M$36,2,0)</f>
        <v>Calentador</v>
      </c>
    </row>
    <row r="45" spans="1:22" ht="15" customHeight="1">
      <c r="A45" s="7" t="s">
        <v>158</v>
      </c>
      <c r="B45" s="11" t="s">
        <v>38</v>
      </c>
      <c r="C45" s="11"/>
      <c r="D45" s="11">
        <f>0.25*697</f>
        <v>174.25</v>
      </c>
      <c r="E45" s="11">
        <f>0.25*3591</f>
        <v>897.75</v>
      </c>
      <c r="F45" s="11">
        <f t="shared" si="1"/>
        <v>1072</v>
      </c>
      <c r="G45" s="11" t="str">
        <f>IFERROR(VLOOKUP(C:C,CtrlPozo!$B:$O,10,0),"")</f>
        <v/>
      </c>
      <c r="H45" s="9" t="s">
        <v>97</v>
      </c>
      <c r="I45" s="9">
        <f>VLOOKUP(H:H,LP!$A:$C,3,0)</f>
        <v>2.19</v>
      </c>
      <c r="J45" s="10" t="s">
        <v>12</v>
      </c>
      <c r="K45" s="10" t="s">
        <v>15</v>
      </c>
      <c r="L45" s="34"/>
      <c r="M45" s="34" t="s">
        <v>172</v>
      </c>
      <c r="N45" s="34">
        <f>HLOOKUP(VLOOKUP(J45,BCConc!$B:$D,3,0),$D$1:$G$259,ROW(B45),0)</f>
        <v>897.75</v>
      </c>
      <c r="O45" s="34">
        <f t="shared" si="6"/>
        <v>17.954999999999998</v>
      </c>
      <c r="P45" s="34">
        <v>20</v>
      </c>
      <c r="Q45" s="34"/>
      <c r="R45" s="58">
        <f t="shared" si="2"/>
        <v>547.62749999999994</v>
      </c>
      <c r="S45" s="58">
        <f t="shared" si="3"/>
        <v>1199.3042249999999</v>
      </c>
      <c r="T45" s="58" t="str">
        <f>VLOOKUP(J45,BCConc!$B:$E,4,0)</f>
        <v>IC</v>
      </c>
      <c r="U45" s="58" t="str">
        <f t="shared" si="4"/>
        <v>CAL</v>
      </c>
      <c r="V45" s="58" t="str">
        <f>VLOOKUP(U45,BCConc!$L$1:$M$36,2,0)</f>
        <v>Calentador</v>
      </c>
    </row>
    <row r="46" spans="1:22" ht="15" customHeight="1">
      <c r="A46" s="7" t="s">
        <v>158</v>
      </c>
      <c r="B46" s="8" t="s">
        <v>39</v>
      </c>
      <c r="C46" s="8"/>
      <c r="D46" s="11">
        <f>0.25*697</f>
        <v>174.25</v>
      </c>
      <c r="E46" s="11">
        <f>0.25*3591</f>
        <v>897.75</v>
      </c>
      <c r="F46" s="11">
        <f t="shared" si="1"/>
        <v>1072</v>
      </c>
      <c r="G46" s="11" t="str">
        <f>IFERROR(VLOOKUP(C:C,CtrlPozo!$B:$O,10,0),"")</f>
        <v/>
      </c>
      <c r="H46" s="9" t="s">
        <v>9</v>
      </c>
      <c r="I46" s="9">
        <f>VLOOKUP(H:H,LP!$A:$C,3,0)</f>
        <v>5.7</v>
      </c>
      <c r="J46" s="10" t="s">
        <v>10</v>
      </c>
      <c r="K46" s="10" t="s">
        <v>11</v>
      </c>
      <c r="L46" s="34"/>
      <c r="M46" s="34" t="s">
        <v>172</v>
      </c>
      <c r="N46" s="34">
        <f>HLOOKUP(VLOOKUP(J46,BCConc!$B:$D,3,0),$D$1:$G$259,ROW(B46),0)</f>
        <v>897.75</v>
      </c>
      <c r="O46" s="34">
        <f t="shared" si="6"/>
        <v>26.932500000000001</v>
      </c>
      <c r="P46" s="34">
        <v>30</v>
      </c>
      <c r="Q46" s="34"/>
      <c r="R46" s="58">
        <f t="shared" si="2"/>
        <v>821.44125000000008</v>
      </c>
      <c r="S46" s="58">
        <f t="shared" si="3"/>
        <v>4682.2151250000006</v>
      </c>
      <c r="T46" s="58" t="str">
        <f>VLOOKUP(J46,BCConc!$B:$E,4,0)</f>
        <v>BX</v>
      </c>
      <c r="U46" s="58" t="str">
        <f t="shared" si="4"/>
        <v>RAN</v>
      </c>
      <c r="V46" s="58" t="str">
        <f>VLOOKUP(U46,BCConc!$L$1:$M$36,2,0)</f>
        <v>Oleoducto</v>
      </c>
    </row>
    <row r="47" spans="1:22" ht="15" customHeight="1">
      <c r="A47" s="7" t="s">
        <v>158</v>
      </c>
      <c r="B47" s="8" t="s">
        <v>40</v>
      </c>
      <c r="C47" s="8"/>
      <c r="D47" s="11">
        <f>0.25*697</f>
        <v>174.25</v>
      </c>
      <c r="E47" s="11">
        <f>0.25*3591</f>
        <v>897.75</v>
      </c>
      <c r="F47" s="11">
        <f t="shared" si="1"/>
        <v>1072</v>
      </c>
      <c r="G47" s="11" t="str">
        <f>IFERROR(VLOOKUP(C:C,CtrlPozo!$B:$O,10,0),"")</f>
        <v/>
      </c>
      <c r="H47" s="9" t="s">
        <v>9</v>
      </c>
      <c r="I47" s="9">
        <f>VLOOKUP(H:H,LP!$A:$C,3,0)</f>
        <v>5.7</v>
      </c>
      <c r="J47" s="10" t="s">
        <v>10</v>
      </c>
      <c r="K47" s="10" t="s">
        <v>11</v>
      </c>
      <c r="L47" s="34"/>
      <c r="M47" s="34" t="s">
        <v>172</v>
      </c>
      <c r="N47" s="34">
        <f>HLOOKUP(VLOOKUP(J47,BCConc!$B:$D,3,0),$D$1:$G$259,ROW(B47),0)</f>
        <v>897.75</v>
      </c>
      <c r="O47" s="34">
        <f t="shared" si="6"/>
        <v>26.932500000000001</v>
      </c>
      <c r="P47" s="34">
        <v>30</v>
      </c>
      <c r="Q47" s="34"/>
      <c r="R47" s="58">
        <f t="shared" si="2"/>
        <v>821.44125000000008</v>
      </c>
      <c r="S47" s="58">
        <f t="shared" si="3"/>
        <v>4682.2151250000006</v>
      </c>
      <c r="T47" s="58" t="str">
        <f>VLOOKUP(J47,BCConc!$B:$E,4,0)</f>
        <v>BX</v>
      </c>
      <c r="U47" s="58" t="str">
        <f t="shared" si="4"/>
        <v>PTO</v>
      </c>
      <c r="V47" s="58" t="str">
        <f>VLOOKUP(U47,BCConc!$L$1:$M$36,2,0)</f>
        <v>Oleoducto</v>
      </c>
    </row>
    <row r="48" spans="1:22" ht="15" customHeight="1">
      <c r="A48" s="15" t="s">
        <v>169</v>
      </c>
      <c r="B48" s="8" t="s">
        <v>41</v>
      </c>
      <c r="C48" s="8" t="s">
        <v>725</v>
      </c>
      <c r="D48" s="8">
        <f>VLOOKUP(C:C,CtrlBat!$A:$D,3,0)</f>
        <v>6.1099999999999994</v>
      </c>
      <c r="E48" s="8">
        <f>VLOOKUP(C:C,CtrlBat!$A:$D,4,0)</f>
        <v>173.77999999999997</v>
      </c>
      <c r="F48" s="11">
        <f t="shared" si="1"/>
        <v>179.89</v>
      </c>
      <c r="G48" s="11" t="str">
        <f>IFERROR(VLOOKUP(C:C,CtrlPozo!$B:$O,10,0),"")</f>
        <v/>
      </c>
      <c r="H48" s="9" t="s">
        <v>132</v>
      </c>
      <c r="I48" s="9">
        <f>VLOOKUP(H:H,LP!$A:$C,3,0)</f>
        <v>5.47</v>
      </c>
      <c r="J48" s="10" t="s">
        <v>14</v>
      </c>
      <c r="K48" s="10" t="s">
        <v>11</v>
      </c>
      <c r="L48" s="34"/>
      <c r="M48" s="34" t="s">
        <v>172</v>
      </c>
      <c r="N48" s="34">
        <f>HLOOKUP(VLOOKUP(J48,BCConc!$B:$D,3,0),$D$1:$G$259,ROW(B48),0)</f>
        <v>179.89</v>
      </c>
      <c r="O48" s="34">
        <f t="shared" si="6"/>
        <v>17.989000000000001</v>
      </c>
      <c r="P48" s="34">
        <v>100</v>
      </c>
      <c r="Q48" s="34"/>
      <c r="R48" s="58">
        <f t="shared" si="2"/>
        <v>548.66449999999998</v>
      </c>
      <c r="S48" s="58">
        <f t="shared" si="3"/>
        <v>3001.1948149999998</v>
      </c>
      <c r="T48" s="58" t="str">
        <f>VLOOKUP(J48,BCConc!$B:$E,4,0)</f>
        <v>IP</v>
      </c>
      <c r="U48" s="58" t="str">
        <f t="shared" si="4"/>
        <v>BAT</v>
      </c>
      <c r="V48" s="58" t="str">
        <f>VLOOKUP(U48,BCConc!$L$1:$M$36,2,0)</f>
        <v>Bateria</v>
      </c>
    </row>
    <row r="49" spans="1:22" ht="15" customHeight="1">
      <c r="A49" s="15" t="s">
        <v>169</v>
      </c>
      <c r="B49" s="8" t="s">
        <v>41</v>
      </c>
      <c r="C49" s="8" t="s">
        <v>725</v>
      </c>
      <c r="D49" s="8">
        <f>VLOOKUP(C:C,CtrlBat!$A:$D,3,0)</f>
        <v>6.1099999999999994</v>
      </c>
      <c r="E49" s="8">
        <f>VLOOKUP(C:C,CtrlBat!$A:$D,4,0)</f>
        <v>173.77999999999997</v>
      </c>
      <c r="F49" s="11">
        <f t="shared" si="1"/>
        <v>179.89</v>
      </c>
      <c r="G49" s="11" t="str">
        <f>IFERROR(VLOOKUP(C:C,CtrlPozo!$B:$O,10,0),"")</f>
        <v/>
      </c>
      <c r="H49" s="9" t="s">
        <v>28</v>
      </c>
      <c r="I49" s="9">
        <f>VLOOKUP(H:H,LP!$A:$C,3,0)</f>
        <v>4.41</v>
      </c>
      <c r="J49" s="10" t="s">
        <v>29</v>
      </c>
      <c r="K49" s="10" t="s">
        <v>11</v>
      </c>
      <c r="L49" s="34"/>
      <c r="M49" s="34" t="s">
        <v>172</v>
      </c>
      <c r="N49" s="34">
        <f>HLOOKUP(VLOOKUP(J49,BCConc!$B:$D,3,0),$D$1:$G$259,ROW(B49),0)</f>
        <v>6.1099999999999994</v>
      </c>
      <c r="O49" s="34">
        <f t="shared" si="6"/>
        <v>1.5274999999999999</v>
      </c>
      <c r="P49" s="34">
        <v>250</v>
      </c>
      <c r="Q49" s="34"/>
      <c r="R49" s="58">
        <f t="shared" si="2"/>
        <v>46.588749999999997</v>
      </c>
      <c r="S49" s="58">
        <f t="shared" si="3"/>
        <v>205.45638750000001</v>
      </c>
      <c r="T49" s="58" t="str">
        <f>VLOOKUP(J49,BCConc!$B:$E,4,0)</f>
        <v>HS</v>
      </c>
      <c r="U49" s="58" t="str">
        <f t="shared" si="4"/>
        <v>BAT</v>
      </c>
      <c r="V49" s="58" t="str">
        <f>VLOOKUP(U49,BCConc!$L$1:$M$36,2,0)</f>
        <v>Bateria</v>
      </c>
    </row>
    <row r="50" spans="1:22" ht="15" customHeight="1">
      <c r="A50" s="15" t="s">
        <v>169</v>
      </c>
      <c r="B50" s="8" t="s">
        <v>41</v>
      </c>
      <c r="C50" s="8" t="s">
        <v>725</v>
      </c>
      <c r="D50" s="8">
        <f>VLOOKUP(C:C,CtrlBat!$A:$D,3,0)</f>
        <v>6.1099999999999994</v>
      </c>
      <c r="E50" s="8">
        <f>VLOOKUP(C:C,CtrlBat!$A:$D,4,0)</f>
        <v>173.77999999999997</v>
      </c>
      <c r="F50" s="11">
        <f t="shared" si="1"/>
        <v>179.89</v>
      </c>
      <c r="G50" s="11" t="str">
        <f>IFERROR(VLOOKUP(C:C,CtrlPozo!$B:$O,10,0),"")</f>
        <v/>
      </c>
      <c r="H50" s="9" t="s">
        <v>100</v>
      </c>
      <c r="I50" s="9">
        <f>VLOOKUP(H:H,LP!$A:$C,3,0)</f>
        <v>3.16</v>
      </c>
      <c r="J50" s="10" t="s">
        <v>13</v>
      </c>
      <c r="K50" s="10" t="s">
        <v>11</v>
      </c>
      <c r="L50" s="34"/>
      <c r="M50" s="34" t="s">
        <v>172</v>
      </c>
      <c r="N50" s="34">
        <f>HLOOKUP(VLOOKUP(J50,BCConc!$B:$D,3,0),$D$1:$G$259,ROW(B50),0)</f>
        <v>6.1099999999999994</v>
      </c>
      <c r="O50" s="73">
        <f t="shared" si="6"/>
        <v>0.61099999999999999</v>
      </c>
      <c r="P50" s="34">
        <v>100</v>
      </c>
      <c r="Q50" s="34"/>
      <c r="R50" s="58">
        <f t="shared" si="2"/>
        <v>18.6355</v>
      </c>
      <c r="S50" s="58">
        <f t="shared" si="3"/>
        <v>58.888180000000006</v>
      </c>
      <c r="T50" s="58" t="str">
        <f>VLOOKUP(J50,BCConc!$B:$E,4,0)</f>
        <v>DB</v>
      </c>
      <c r="U50" s="58" t="str">
        <f t="shared" si="4"/>
        <v>BAT</v>
      </c>
      <c r="V50" s="58" t="str">
        <f>VLOOKUP(U50,BCConc!$L$1:$M$36,2,0)</f>
        <v>Bateria</v>
      </c>
    </row>
    <row r="51" spans="1:22" ht="15" customHeight="1">
      <c r="A51" s="15" t="s">
        <v>169</v>
      </c>
      <c r="B51" s="8" t="s">
        <v>41</v>
      </c>
      <c r="C51" s="8" t="s">
        <v>725</v>
      </c>
      <c r="D51" s="8">
        <f>VLOOKUP(C:C,CtrlBat!$A:$D,3,0)</f>
        <v>6.1099999999999994</v>
      </c>
      <c r="E51" s="8">
        <f>VLOOKUP(C:C,CtrlBat!$A:$D,4,0)</f>
        <v>173.77999999999997</v>
      </c>
      <c r="F51" s="11">
        <f t="shared" si="1"/>
        <v>179.89</v>
      </c>
      <c r="G51" s="11" t="str">
        <f>IFERROR(VLOOKUP(C:C,CtrlPozo!$B:$O,10,0),"")</f>
        <v/>
      </c>
      <c r="H51" s="9" t="s">
        <v>98</v>
      </c>
      <c r="I51" s="9">
        <f>VLOOKUP(H:H,LP!$A:$C,3,0)</f>
        <v>6.94</v>
      </c>
      <c r="J51" s="10" t="s">
        <v>10</v>
      </c>
      <c r="K51" s="10" t="s">
        <v>11</v>
      </c>
      <c r="L51" s="34"/>
      <c r="M51" s="34" t="s">
        <v>172</v>
      </c>
      <c r="N51" s="34">
        <f>HLOOKUP(VLOOKUP(J51,BCConc!$B:$D,3,0),$D$1:$G$259,ROW(B51),0)</f>
        <v>173.77999999999997</v>
      </c>
      <c r="O51" s="34">
        <f t="shared" si="6"/>
        <v>5.2134</v>
      </c>
      <c r="P51" s="34">
        <v>30</v>
      </c>
      <c r="Q51" s="34"/>
      <c r="R51" s="58">
        <f t="shared" si="2"/>
        <v>159.0087</v>
      </c>
      <c r="S51" s="58">
        <f t="shared" si="3"/>
        <v>1103.5203780000002</v>
      </c>
      <c r="T51" s="58" t="str">
        <f>VLOOKUP(J51,BCConc!$B:$E,4,0)</f>
        <v>BX</v>
      </c>
      <c r="U51" s="58" t="str">
        <f t="shared" si="4"/>
        <v>BAT</v>
      </c>
      <c r="V51" s="58" t="str">
        <f>VLOOKUP(U51,BCConc!$L$1:$M$36,2,0)</f>
        <v>Bateria</v>
      </c>
    </row>
    <row r="52" spans="1:22" ht="15" customHeight="1">
      <c r="A52" s="15" t="s">
        <v>169</v>
      </c>
      <c r="B52" s="8" t="s">
        <v>41</v>
      </c>
      <c r="C52" s="8" t="s">
        <v>725</v>
      </c>
      <c r="D52" s="8">
        <f>VLOOKUP(C:C,CtrlBat!$A:$D,3,0)</f>
        <v>6.1099999999999994</v>
      </c>
      <c r="E52" s="8">
        <f>VLOOKUP(C:C,CtrlBat!$A:$D,4,0)</f>
        <v>173.77999999999997</v>
      </c>
      <c r="F52" s="11">
        <f t="shared" si="1"/>
        <v>179.89</v>
      </c>
      <c r="G52" s="11" t="str">
        <f>IFERROR(VLOOKUP(C:C,CtrlPozo!$B:$O,10,0),"")</f>
        <v/>
      </c>
      <c r="H52" s="9" t="s">
        <v>97</v>
      </c>
      <c r="I52" s="9">
        <f>VLOOKUP(H:H,LP!$A:$C,3,0)</f>
        <v>2.19</v>
      </c>
      <c r="J52" s="10" t="s">
        <v>12</v>
      </c>
      <c r="K52" s="10" t="s">
        <v>15</v>
      </c>
      <c r="L52" s="34"/>
      <c r="M52" s="34" t="s">
        <v>172</v>
      </c>
      <c r="N52" s="34">
        <f>HLOOKUP(VLOOKUP(J52,BCConc!$B:$D,3,0),$D$1:$G$259,ROW(B52),0)</f>
        <v>173.77999999999997</v>
      </c>
      <c r="O52" s="34">
        <f t="shared" si="6"/>
        <v>3.4755999999999996</v>
      </c>
      <c r="P52" s="34">
        <v>20</v>
      </c>
      <c r="Q52" s="34"/>
      <c r="R52" s="58">
        <f t="shared" si="2"/>
        <v>106.00579999999999</v>
      </c>
      <c r="S52" s="58">
        <f t="shared" si="3"/>
        <v>232.15270199999998</v>
      </c>
      <c r="T52" s="58" t="str">
        <f>VLOOKUP(J52,BCConc!$B:$E,4,0)</f>
        <v>IC</v>
      </c>
      <c r="U52" s="58" t="str">
        <f t="shared" si="4"/>
        <v>BAT</v>
      </c>
      <c r="V52" s="58" t="str">
        <f>VLOOKUP(U52,BCConc!$L$1:$M$36,2,0)</f>
        <v>Bateria</v>
      </c>
    </row>
    <row r="53" spans="1:22" ht="15" customHeight="1">
      <c r="A53" s="15" t="s">
        <v>169</v>
      </c>
      <c r="B53" s="8" t="s">
        <v>41</v>
      </c>
      <c r="C53" s="8" t="s">
        <v>725</v>
      </c>
      <c r="D53" s="8">
        <f>VLOOKUP(C:C,CtrlBat!$A:$D,3,0)</f>
        <v>6.1099999999999994</v>
      </c>
      <c r="E53" s="8">
        <f>VLOOKUP(C:C,CtrlBat!$A:$D,4,0)</f>
        <v>173.77999999999997</v>
      </c>
      <c r="F53" s="11">
        <f t="shared" si="1"/>
        <v>179.89</v>
      </c>
      <c r="G53" s="11" t="str">
        <f>IFERROR(VLOOKUP(C:C,CtrlPozo!$B:$O,10,0),"")</f>
        <v/>
      </c>
      <c r="H53" s="9" t="s">
        <v>18</v>
      </c>
      <c r="I53" s="9">
        <f>VLOOKUP(H:H,LP!$A:$C,3,0)</f>
        <v>2.65</v>
      </c>
      <c r="J53" s="10" t="s">
        <v>19</v>
      </c>
      <c r="K53" s="10" t="s">
        <v>11</v>
      </c>
      <c r="L53" s="34"/>
      <c r="M53" s="34" t="s">
        <v>172</v>
      </c>
      <c r="N53" s="34">
        <f>HLOOKUP(VLOOKUP(J53,BCConc!$B:$D,3,0),$D$1:$G$259,ROW(B53),0)</f>
        <v>173.77999999999997</v>
      </c>
      <c r="O53" s="34">
        <f t="shared" si="6"/>
        <v>3.4755999999999996</v>
      </c>
      <c r="P53" s="34">
        <v>20</v>
      </c>
      <c r="Q53" s="34"/>
      <c r="R53" s="58">
        <f t="shared" si="2"/>
        <v>106.00579999999999</v>
      </c>
      <c r="S53" s="58">
        <f t="shared" si="3"/>
        <v>280.91537</v>
      </c>
      <c r="T53" s="58" t="str">
        <f>VLOOKUP(J53,BCConc!$B:$E,4,0)</f>
        <v>CY</v>
      </c>
      <c r="U53" s="58" t="str">
        <f t="shared" si="4"/>
        <v>BAT</v>
      </c>
      <c r="V53" s="58" t="str">
        <f>VLOOKUP(U53,BCConc!$L$1:$M$36,2,0)</f>
        <v>Bateria</v>
      </c>
    </row>
    <row r="54" spans="1:22" ht="15" customHeight="1">
      <c r="A54" s="15" t="s">
        <v>169</v>
      </c>
      <c r="B54" s="8" t="s">
        <v>41</v>
      </c>
      <c r="C54" s="8" t="s">
        <v>725</v>
      </c>
      <c r="D54" s="8">
        <f>VLOOKUP(C:C,CtrlBat!$A:$D,3,0)</f>
        <v>6.1099999999999994</v>
      </c>
      <c r="E54" s="8">
        <f>VLOOKUP(C:C,CtrlBat!$A:$D,4,0)</f>
        <v>173.77999999999997</v>
      </c>
      <c r="F54" s="11">
        <f t="shared" si="1"/>
        <v>179.89</v>
      </c>
      <c r="G54" s="11" t="str">
        <f>IFERROR(VLOOKUP(C:C,CtrlPozo!$B:$O,10,0),"")</f>
        <v/>
      </c>
      <c r="H54" s="12" t="s">
        <v>16</v>
      </c>
      <c r="I54" s="9">
        <f>VLOOKUP(H:H,LP!$A:$C,3,0)</f>
        <v>2.5</v>
      </c>
      <c r="J54" s="10" t="s">
        <v>17</v>
      </c>
      <c r="K54" s="10" t="s">
        <v>7</v>
      </c>
      <c r="L54" s="34"/>
      <c r="M54" s="34" t="s">
        <v>172</v>
      </c>
      <c r="N54" s="34">
        <f>HLOOKUP(VLOOKUP(J54,BCConc!$B:$D,3,0),$D$1:$G$259,ROW(B54),0)</f>
        <v>179.89</v>
      </c>
      <c r="O54" s="34">
        <f t="shared" si="6"/>
        <v>3.5977999999999999</v>
      </c>
      <c r="P54" s="34">
        <v>20</v>
      </c>
      <c r="Q54" s="34"/>
      <c r="R54" s="58">
        <f t="shared" si="2"/>
        <v>109.7329</v>
      </c>
      <c r="S54" s="58">
        <f t="shared" si="3"/>
        <v>274.33224999999999</v>
      </c>
      <c r="T54" s="58" t="str">
        <f>VLOOKUP(J54,BCConc!$B:$E,4,0)</f>
        <v>AB</v>
      </c>
      <c r="U54" s="58" t="str">
        <f t="shared" si="4"/>
        <v>BAT</v>
      </c>
      <c r="V54" s="58" t="str">
        <f>VLOOKUP(U54,BCConc!$L$1:$M$36,2,0)</f>
        <v>Bateria</v>
      </c>
    </row>
    <row r="55" spans="1:22" ht="15" customHeight="1">
      <c r="A55" s="15" t="s">
        <v>169</v>
      </c>
      <c r="B55" s="8" t="s">
        <v>42</v>
      </c>
      <c r="C55" s="8" t="s">
        <v>725</v>
      </c>
      <c r="D55" s="8">
        <f>0.5*6.11</f>
        <v>3.0550000000000002</v>
      </c>
      <c r="E55" s="8">
        <f>0.5*174</f>
        <v>87</v>
      </c>
      <c r="F55" s="11">
        <f t="shared" si="1"/>
        <v>90.055000000000007</v>
      </c>
      <c r="G55" s="11" t="str">
        <f>IFERROR(VLOOKUP(C:C,CtrlPozo!$B:$O,10,0),"")</f>
        <v/>
      </c>
      <c r="H55" s="9" t="s">
        <v>99</v>
      </c>
      <c r="I55" s="9">
        <f>VLOOKUP(H:H,LP!$A:$C,3,0)</f>
        <v>4.38</v>
      </c>
      <c r="J55" s="10" t="s">
        <v>46</v>
      </c>
      <c r="K55" s="10" t="s">
        <v>7</v>
      </c>
      <c r="L55" s="34"/>
      <c r="M55" s="34" t="s">
        <v>172</v>
      </c>
      <c r="N55" s="34">
        <f>HLOOKUP(VLOOKUP(J55,BCConc!$B:$D,3,0),$D$1:$G$259,ROW(B55),0)</f>
        <v>90.055000000000007</v>
      </c>
      <c r="O55" s="34">
        <f t="shared" si="6"/>
        <v>45.027500000000003</v>
      </c>
      <c r="P55" s="34">
        <v>500</v>
      </c>
      <c r="Q55" s="34"/>
      <c r="R55" s="58">
        <f t="shared" si="2"/>
        <v>1373.3387500000001</v>
      </c>
      <c r="S55" s="58">
        <f t="shared" si="3"/>
        <v>6015.2237250000007</v>
      </c>
      <c r="T55" s="58" t="str">
        <f>VLOOKUP(J55,BCConc!$B:$E,4,0)</f>
        <v>DP</v>
      </c>
      <c r="U55" s="58" t="str">
        <f t="shared" si="4"/>
        <v>COL</v>
      </c>
      <c r="V55" s="58" t="str">
        <f>VLOOKUP(U55,BCConc!$L$1:$M$36,2,0)</f>
        <v>Colector</v>
      </c>
    </row>
    <row r="56" spans="1:22" ht="15" customHeight="1">
      <c r="A56" s="16" t="s">
        <v>165</v>
      </c>
      <c r="B56" s="11" t="s">
        <v>43</v>
      </c>
      <c r="C56" s="11"/>
      <c r="D56" s="11">
        <f t="shared" ref="D56:D64" si="7">0.25*36.02</f>
        <v>9.0050000000000008</v>
      </c>
      <c r="E56" s="11">
        <f t="shared" ref="E56:E64" si="8">0.25*680</f>
        <v>170</v>
      </c>
      <c r="F56" s="11">
        <f t="shared" si="1"/>
        <v>179.005</v>
      </c>
      <c r="G56" s="11" t="str">
        <f>IFERROR(VLOOKUP(C:C,CtrlPozo!$B:$O,10,0),"")</f>
        <v/>
      </c>
      <c r="H56" s="9" t="s">
        <v>131</v>
      </c>
      <c r="I56" s="9">
        <f>VLOOKUP(H:H,LP!$A:$C,3,0)</f>
        <v>4.8099999999999996</v>
      </c>
      <c r="J56" s="10" t="s">
        <v>12</v>
      </c>
      <c r="K56" s="10" t="s">
        <v>43</v>
      </c>
      <c r="L56" s="34"/>
      <c r="M56" s="34" t="s">
        <v>172</v>
      </c>
      <c r="N56" s="34">
        <f>HLOOKUP(VLOOKUP(J56,BCConc!$B:$D,3,0),$D$1:$G$259,ROW(B56),0)</f>
        <v>170</v>
      </c>
      <c r="O56" s="34">
        <f t="shared" si="6"/>
        <v>3.4</v>
      </c>
      <c r="P56" s="34">
        <v>20</v>
      </c>
      <c r="Q56" s="34"/>
      <c r="R56" s="58">
        <f t="shared" si="2"/>
        <v>103.7</v>
      </c>
      <c r="S56" s="58">
        <f t="shared" si="3"/>
        <v>498.79699999999997</v>
      </c>
      <c r="T56" s="58" t="str">
        <f>VLOOKUP(J56,BCConc!$B:$E,4,0)</f>
        <v>IC</v>
      </c>
      <c r="U56" s="58" t="str">
        <f t="shared" si="4"/>
        <v>EMP</v>
      </c>
      <c r="V56" s="58" t="str">
        <f>VLOOKUP(U56,BCConc!$L$1:$M$36,2,0)</f>
        <v>Empalme</v>
      </c>
    </row>
    <row r="57" spans="1:22" ht="15" customHeight="1">
      <c r="A57" s="16" t="s">
        <v>165</v>
      </c>
      <c r="B57" s="8" t="s">
        <v>43</v>
      </c>
      <c r="C57" s="11"/>
      <c r="D57" s="11">
        <f t="shared" si="7"/>
        <v>9.0050000000000008</v>
      </c>
      <c r="E57" s="11">
        <f t="shared" si="8"/>
        <v>170</v>
      </c>
      <c r="F57" s="11">
        <f t="shared" si="1"/>
        <v>179.005</v>
      </c>
      <c r="G57" s="11" t="str">
        <f>IFERROR(VLOOKUP(C:C,CtrlPozo!$B:$O,10,0),"")</f>
        <v/>
      </c>
      <c r="H57" s="9" t="s">
        <v>100</v>
      </c>
      <c r="I57" s="9">
        <f>VLOOKUP(H:H,LP!$A:$C,3,0)</f>
        <v>3.16</v>
      </c>
      <c r="J57" s="12" t="s">
        <v>13</v>
      </c>
      <c r="K57" s="10" t="s">
        <v>26</v>
      </c>
      <c r="L57" s="34"/>
      <c r="M57" s="34" t="s">
        <v>172</v>
      </c>
      <c r="N57" s="34">
        <f>HLOOKUP(VLOOKUP(J57,BCConc!$B:$D,3,0),$D$1:$G$259,ROW(B57),0)</f>
        <v>9.0050000000000008</v>
      </c>
      <c r="O57" s="73">
        <f t="shared" si="6"/>
        <v>0.90050000000000008</v>
      </c>
      <c r="P57" s="34">
        <v>100</v>
      </c>
      <c r="Q57" s="34"/>
      <c r="R57" s="58">
        <f t="shared" si="2"/>
        <v>27.465250000000001</v>
      </c>
      <c r="S57" s="58">
        <f t="shared" si="3"/>
        <v>86.79019000000001</v>
      </c>
      <c r="T57" s="58" t="str">
        <f>VLOOKUP(J57,BCConc!$B:$E,4,0)</f>
        <v>DB</v>
      </c>
      <c r="U57" s="58" t="str">
        <f t="shared" si="4"/>
        <v>EMP</v>
      </c>
      <c r="V57" s="58" t="str">
        <f>VLOOKUP(U57,BCConc!$L$1:$M$36,2,0)</f>
        <v>Empalme</v>
      </c>
    </row>
    <row r="58" spans="1:22" ht="15" customHeight="1">
      <c r="A58" s="16" t="s">
        <v>165</v>
      </c>
      <c r="B58" s="8" t="s">
        <v>43</v>
      </c>
      <c r="C58" s="11"/>
      <c r="D58" s="11">
        <f t="shared" si="7"/>
        <v>9.0050000000000008</v>
      </c>
      <c r="E58" s="11">
        <f t="shared" si="8"/>
        <v>170</v>
      </c>
      <c r="F58" s="11">
        <f t="shared" si="1"/>
        <v>179.005</v>
      </c>
      <c r="G58" s="11" t="str">
        <f>IFERROR(VLOOKUP(C:C,CtrlPozo!$B:$O,10,0),"")</f>
        <v/>
      </c>
      <c r="H58" s="9" t="s">
        <v>18</v>
      </c>
      <c r="I58" s="9">
        <f>VLOOKUP(H:H,LP!$A:$C,3,0)</f>
        <v>2.65</v>
      </c>
      <c r="J58" s="12" t="s">
        <v>19</v>
      </c>
      <c r="K58" s="10" t="s">
        <v>11</v>
      </c>
      <c r="L58" s="34"/>
      <c r="M58" s="34" t="s">
        <v>172</v>
      </c>
      <c r="N58" s="34">
        <f>HLOOKUP(VLOOKUP(J58,BCConc!$B:$D,3,0),$D$1:$G$259,ROW(B58),0)</f>
        <v>170</v>
      </c>
      <c r="O58" s="34">
        <f t="shared" si="6"/>
        <v>3.4</v>
      </c>
      <c r="P58" s="34">
        <v>20</v>
      </c>
      <c r="Q58" s="34"/>
      <c r="R58" s="58">
        <f t="shared" si="2"/>
        <v>103.7</v>
      </c>
      <c r="S58" s="58">
        <f t="shared" si="3"/>
        <v>274.80500000000001</v>
      </c>
      <c r="T58" s="58" t="str">
        <f>VLOOKUP(J58,BCConc!$B:$E,4,0)</f>
        <v>CY</v>
      </c>
      <c r="U58" s="58" t="str">
        <f t="shared" si="4"/>
        <v>EMP</v>
      </c>
      <c r="V58" s="58" t="str">
        <f>VLOOKUP(U58,BCConc!$L$1:$M$36,2,0)</f>
        <v>Empalme</v>
      </c>
    </row>
    <row r="59" spans="1:22" ht="15" customHeight="1">
      <c r="A59" s="16" t="s">
        <v>165</v>
      </c>
      <c r="B59" s="8" t="s">
        <v>43</v>
      </c>
      <c r="C59" s="11"/>
      <c r="D59" s="11">
        <f t="shared" si="7"/>
        <v>9.0050000000000008</v>
      </c>
      <c r="E59" s="11">
        <f t="shared" si="8"/>
        <v>170</v>
      </c>
      <c r="F59" s="11">
        <f t="shared" si="1"/>
        <v>179.005</v>
      </c>
      <c r="G59" s="11" t="str">
        <f>IFERROR(VLOOKUP(C:C,CtrlPozo!$B:$O,10,0),"")</f>
        <v/>
      </c>
      <c r="H59" s="9" t="s">
        <v>98</v>
      </c>
      <c r="I59" s="9">
        <f>VLOOKUP(H:H,LP!$A:$C,3,0)</f>
        <v>6.94</v>
      </c>
      <c r="J59" s="10" t="s">
        <v>10</v>
      </c>
      <c r="K59" s="10" t="s">
        <v>11</v>
      </c>
      <c r="L59" s="34"/>
      <c r="M59" s="34" t="s">
        <v>172</v>
      </c>
      <c r="N59" s="34">
        <f>HLOOKUP(VLOOKUP(J59,BCConc!$B:$D,3,0),$D$1:$G$259,ROW(B59),0)</f>
        <v>170</v>
      </c>
      <c r="O59" s="34">
        <f t="shared" si="6"/>
        <v>5.0999999999999996</v>
      </c>
      <c r="P59" s="34">
        <v>30</v>
      </c>
      <c r="Q59" s="34"/>
      <c r="R59" s="58">
        <f t="shared" si="2"/>
        <v>155.54999999999998</v>
      </c>
      <c r="S59" s="58">
        <f t="shared" si="3"/>
        <v>1079.5170000000001</v>
      </c>
      <c r="T59" s="58" t="str">
        <f>VLOOKUP(J59,BCConc!$B:$E,4,0)</f>
        <v>BX</v>
      </c>
      <c r="U59" s="58" t="str">
        <f t="shared" si="4"/>
        <v>EMP</v>
      </c>
      <c r="V59" s="58" t="str">
        <f>VLOOKUP(U59,BCConc!$L$1:$M$36,2,0)</f>
        <v>Empalme</v>
      </c>
    </row>
    <row r="60" spans="1:22" ht="15" customHeight="1">
      <c r="A60" s="16" t="s">
        <v>165</v>
      </c>
      <c r="B60" s="11" t="s">
        <v>43</v>
      </c>
      <c r="C60" s="11"/>
      <c r="D60" s="11">
        <f t="shared" si="7"/>
        <v>9.0050000000000008</v>
      </c>
      <c r="E60" s="11">
        <f t="shared" si="8"/>
        <v>170</v>
      </c>
      <c r="F60" s="11">
        <f t="shared" si="1"/>
        <v>179.005</v>
      </c>
      <c r="G60" s="11" t="str">
        <f>IFERROR(VLOOKUP(C:C,CtrlPozo!$B:$O,10,0),"")</f>
        <v/>
      </c>
      <c r="H60" s="9" t="s">
        <v>28</v>
      </c>
      <c r="I60" s="9">
        <f>VLOOKUP(H:H,LP!$A:$C,3,0)</f>
        <v>4.41</v>
      </c>
      <c r="J60" s="10" t="s">
        <v>29</v>
      </c>
      <c r="K60" s="10" t="s">
        <v>26</v>
      </c>
      <c r="L60" s="34"/>
      <c r="M60" s="34" t="s">
        <v>172</v>
      </c>
      <c r="N60" s="34">
        <f>HLOOKUP(VLOOKUP(J60,BCConc!$B:$D,3,0),$D$1:$G$259,ROW(B60),0)</f>
        <v>9.0050000000000008</v>
      </c>
      <c r="O60" s="34">
        <f t="shared" si="6"/>
        <v>2.2512500000000002</v>
      </c>
      <c r="P60" s="34">
        <v>250</v>
      </c>
      <c r="Q60" s="34"/>
      <c r="R60" s="58">
        <f t="shared" si="2"/>
        <v>68.663125000000008</v>
      </c>
      <c r="S60" s="58">
        <f t="shared" si="3"/>
        <v>302.80438125000006</v>
      </c>
      <c r="T60" s="58" t="str">
        <f>VLOOKUP(J60,BCConc!$B:$E,4,0)</f>
        <v>HS</v>
      </c>
      <c r="U60" s="58" t="str">
        <f t="shared" si="4"/>
        <v>EMP</v>
      </c>
      <c r="V60" s="58" t="str">
        <f>VLOOKUP(U60,BCConc!$L$1:$M$36,2,0)</f>
        <v>Empalme</v>
      </c>
    </row>
    <row r="61" spans="1:22" ht="15" customHeight="1">
      <c r="A61" s="16" t="s">
        <v>165</v>
      </c>
      <c r="B61" s="11" t="s">
        <v>43</v>
      </c>
      <c r="C61" s="11"/>
      <c r="D61" s="11">
        <f t="shared" si="7"/>
        <v>9.0050000000000008</v>
      </c>
      <c r="E61" s="11">
        <f t="shared" si="8"/>
        <v>170</v>
      </c>
      <c r="F61" s="11">
        <f t="shared" si="1"/>
        <v>179.005</v>
      </c>
      <c r="G61" s="11" t="str">
        <f>IFERROR(VLOOKUP(C:C,CtrlPozo!$B:$O,10,0),"")</f>
        <v/>
      </c>
      <c r="H61" s="9" t="s">
        <v>129</v>
      </c>
      <c r="I61" s="9">
        <f>VLOOKUP(H:H,LP!$A:$C,3,0)</f>
        <v>5.44</v>
      </c>
      <c r="J61" s="10" t="s">
        <v>44</v>
      </c>
      <c r="K61" s="10" t="s">
        <v>26</v>
      </c>
      <c r="L61" s="34"/>
      <c r="M61" s="34" t="s">
        <v>172</v>
      </c>
      <c r="N61" s="34">
        <f>HLOOKUP(VLOOKUP(J61,BCConc!$B:$D,3,0),$D$1:$G$259,ROW(B61),0)</f>
        <v>179.005</v>
      </c>
      <c r="O61" s="34">
        <f>N61*P61/1000</f>
        <v>26.850750000000001</v>
      </c>
      <c r="P61" s="34">
        <v>150</v>
      </c>
      <c r="Q61" s="34"/>
      <c r="R61" s="58">
        <f t="shared" si="2"/>
        <v>818.94787500000007</v>
      </c>
      <c r="S61" s="58">
        <f t="shared" si="3"/>
        <v>4455.0764400000007</v>
      </c>
      <c r="T61" s="58" t="str">
        <f>VLOOKUP(J61,BCConc!$B:$E,4,0)</f>
        <v>RT</v>
      </c>
      <c r="U61" s="58" t="str">
        <f t="shared" si="4"/>
        <v>EMP</v>
      </c>
      <c r="V61" s="58" t="str">
        <f>VLOOKUP(U61,BCConc!$L$1:$M$36,2,0)</f>
        <v>Empalme</v>
      </c>
    </row>
    <row r="62" spans="1:22" ht="15" customHeight="1">
      <c r="A62" s="16" t="s">
        <v>165</v>
      </c>
      <c r="B62" s="11" t="s">
        <v>43</v>
      </c>
      <c r="C62" s="11"/>
      <c r="D62" s="11">
        <f t="shared" si="7"/>
        <v>9.0050000000000008</v>
      </c>
      <c r="E62" s="11">
        <f t="shared" si="8"/>
        <v>170</v>
      </c>
      <c r="F62" s="11">
        <f t="shared" si="1"/>
        <v>179.005</v>
      </c>
      <c r="G62" s="11" t="str">
        <f>IFERROR(VLOOKUP(C:C,CtrlPozo!$B:$O,10,0),"")</f>
        <v/>
      </c>
      <c r="H62" s="9" t="s">
        <v>123</v>
      </c>
      <c r="I62" s="9">
        <f>VLOOKUP(H:H,LP!$A:$C,3,0)</f>
        <v>2.79</v>
      </c>
      <c r="J62" s="10" t="s">
        <v>103</v>
      </c>
      <c r="K62" s="10" t="s">
        <v>116</v>
      </c>
      <c r="L62" s="34"/>
      <c r="M62" s="34" t="s">
        <v>172</v>
      </c>
      <c r="N62" s="34">
        <f>HLOOKUP(VLOOKUP(J62,BCConc!$B:$D,3,0),$D$1:$G$259,ROW(B62),0)</f>
        <v>179.005</v>
      </c>
      <c r="O62" s="34">
        <f t="shared" ref="O62:O68" si="9">P62*N62/1000</f>
        <v>13.425375000000001</v>
      </c>
      <c r="P62" s="34">
        <v>75</v>
      </c>
      <c r="Q62" s="34"/>
      <c r="R62" s="58">
        <f t="shared" si="2"/>
        <v>409.47393750000003</v>
      </c>
      <c r="S62" s="58">
        <f t="shared" si="3"/>
        <v>1142.4322856250001</v>
      </c>
      <c r="T62" s="58" t="str">
        <f>VLOOKUP(J62,BCConc!$B:$E,4,0)</f>
        <v>RF</v>
      </c>
      <c r="U62" s="58" t="str">
        <f t="shared" si="4"/>
        <v>EMP</v>
      </c>
      <c r="V62" s="58" t="str">
        <f>VLOOKUP(U62,BCConc!$L$1:$M$36,2,0)</f>
        <v>Empalme</v>
      </c>
    </row>
    <row r="63" spans="1:22" ht="15" customHeight="1">
      <c r="A63" s="16" t="s">
        <v>165</v>
      </c>
      <c r="B63" s="11" t="s">
        <v>45</v>
      </c>
      <c r="C63" s="11"/>
      <c r="D63" s="11">
        <f t="shared" si="7"/>
        <v>9.0050000000000008</v>
      </c>
      <c r="E63" s="11">
        <f t="shared" si="8"/>
        <v>170</v>
      </c>
      <c r="F63" s="11">
        <f t="shared" si="1"/>
        <v>179.005</v>
      </c>
      <c r="G63" s="11" t="str">
        <f>IFERROR(VLOOKUP(C:C,CtrlPozo!$B:$O,10,0),"")</f>
        <v/>
      </c>
      <c r="H63" s="9" t="s">
        <v>99</v>
      </c>
      <c r="I63" s="9">
        <f>VLOOKUP(H:H,LP!$A:$C,3,0)</f>
        <v>4.38</v>
      </c>
      <c r="J63" s="12" t="s">
        <v>46</v>
      </c>
      <c r="K63" s="10" t="s">
        <v>7</v>
      </c>
      <c r="L63" s="34"/>
      <c r="M63" s="34" t="s">
        <v>172</v>
      </c>
      <c r="N63" s="34">
        <f>HLOOKUP(VLOOKUP(J63,BCConc!$B:$D,3,0),$D$1:$G$259,ROW(B63),0)</f>
        <v>179.005</v>
      </c>
      <c r="O63" s="34">
        <f t="shared" si="9"/>
        <v>44.751249999999999</v>
      </c>
      <c r="P63" s="34">
        <v>250</v>
      </c>
      <c r="Q63" s="34"/>
      <c r="R63" s="58">
        <f t="shared" si="2"/>
        <v>1364.913125</v>
      </c>
      <c r="S63" s="58">
        <f t="shared" si="3"/>
        <v>5978.3194874999999</v>
      </c>
      <c r="T63" s="58" t="str">
        <f>VLOOKUP(J63,BCConc!$B:$E,4,0)</f>
        <v>DP</v>
      </c>
      <c r="U63" s="58" t="str">
        <f t="shared" si="4"/>
        <v>COL</v>
      </c>
      <c r="V63" s="58" t="str">
        <f>VLOOKUP(U63,BCConc!$L$1:$M$36,2,0)</f>
        <v>Colector</v>
      </c>
    </row>
    <row r="64" spans="1:22" ht="15" customHeight="1">
      <c r="A64" s="16" t="s">
        <v>165</v>
      </c>
      <c r="B64" s="8" t="s">
        <v>47</v>
      </c>
      <c r="C64" s="11"/>
      <c r="D64" s="11">
        <f t="shared" si="7"/>
        <v>9.0050000000000008</v>
      </c>
      <c r="E64" s="11">
        <f t="shared" si="8"/>
        <v>170</v>
      </c>
      <c r="F64" s="11">
        <f t="shared" si="1"/>
        <v>179.005</v>
      </c>
      <c r="G64" s="11" t="str">
        <f>IFERROR(VLOOKUP(C:C,CtrlPozo!$B:$O,10,0),"")</f>
        <v/>
      </c>
      <c r="H64" s="9" t="s">
        <v>99</v>
      </c>
      <c r="I64" s="9">
        <f>VLOOKUP(H:H,LP!$A:$C,3,0)</f>
        <v>4.38</v>
      </c>
      <c r="J64" s="10" t="s">
        <v>46</v>
      </c>
      <c r="K64" s="10" t="s">
        <v>7</v>
      </c>
      <c r="L64" s="34"/>
      <c r="M64" s="34" t="s">
        <v>172</v>
      </c>
      <c r="N64" s="34">
        <f>HLOOKUP(VLOOKUP(J64,BCConc!$B:$D,3,0),$D$1:$G$259,ROW(B64),0)</f>
        <v>179.005</v>
      </c>
      <c r="O64" s="34">
        <f t="shared" si="9"/>
        <v>44.751249999999999</v>
      </c>
      <c r="P64" s="34">
        <v>250</v>
      </c>
      <c r="Q64" s="34"/>
      <c r="R64" s="58">
        <f t="shared" si="2"/>
        <v>1364.913125</v>
      </c>
      <c r="S64" s="58">
        <f t="shared" si="3"/>
        <v>5978.3194874999999</v>
      </c>
      <c r="T64" s="58" t="str">
        <f>VLOOKUP(J64,BCConc!$B:$E,4,0)</f>
        <v>DP</v>
      </c>
      <c r="U64" s="58" t="str">
        <f t="shared" si="4"/>
        <v>COL</v>
      </c>
      <c r="V64" s="58" t="str">
        <f>VLOOKUP(U64,BCConc!$L$1:$M$36,2,0)</f>
        <v>Colector</v>
      </c>
    </row>
    <row r="65" spans="1:22" ht="15" customHeight="1">
      <c r="A65" s="16" t="s">
        <v>165</v>
      </c>
      <c r="B65" s="8" t="s">
        <v>48</v>
      </c>
      <c r="C65" s="8" t="str">
        <f>+B65</f>
        <v>NMDM-0072</v>
      </c>
      <c r="D65" s="8">
        <f>+VLOOKUP(C:C,CtrlPozo!$B:$O,13,0)</f>
        <v>8.61</v>
      </c>
      <c r="E65" s="8">
        <f>+VLOOKUP(C:C,CtrlPozo!$B:$O,12,0)</f>
        <v>39.36</v>
      </c>
      <c r="F65" s="11">
        <f t="shared" si="1"/>
        <v>47.97</v>
      </c>
      <c r="G65" s="11">
        <f>IFERROR(VLOOKUP(C:C,CtrlPozo!$B:$O,10,0),"")</f>
        <v>4010</v>
      </c>
      <c r="H65" s="9" t="s">
        <v>99</v>
      </c>
      <c r="I65" s="9">
        <f>VLOOKUP(H:H,LP!$A:$C,3,0)</f>
        <v>4.38</v>
      </c>
      <c r="J65" s="10" t="s">
        <v>46</v>
      </c>
      <c r="K65" s="10" t="s">
        <v>35</v>
      </c>
      <c r="L65" s="34"/>
      <c r="M65" s="34" t="s">
        <v>172</v>
      </c>
      <c r="N65" s="34">
        <f>HLOOKUP(VLOOKUP(J65,BCConc!$B:$D,3,0),$D$1:$G$259,ROW(B65),0)</f>
        <v>47.97</v>
      </c>
      <c r="O65" s="34">
        <f t="shared" si="9"/>
        <v>23.984999999999999</v>
      </c>
      <c r="P65" s="34">
        <v>500</v>
      </c>
      <c r="Q65" s="34"/>
      <c r="R65" s="58">
        <f t="shared" si="2"/>
        <v>731.54250000000002</v>
      </c>
      <c r="S65" s="58">
        <f t="shared" si="3"/>
        <v>3204.1561499999998</v>
      </c>
      <c r="T65" s="58" t="str">
        <f>VLOOKUP(J65,BCConc!$B:$E,4,0)</f>
        <v>DP</v>
      </c>
      <c r="U65" s="58" t="str">
        <f t="shared" si="4"/>
        <v>NMD</v>
      </c>
      <c r="V65" s="58" t="str">
        <f>VLOOKUP(U65,BCConc!$L$1:$M$36,2,0)</f>
        <v>Pozo</v>
      </c>
    </row>
    <row r="66" spans="1:22" ht="15" customHeight="1">
      <c r="A66" s="16" t="s">
        <v>165</v>
      </c>
      <c r="B66" s="1" t="s">
        <v>600</v>
      </c>
      <c r="C66" s="8" t="str">
        <f>+B66</f>
        <v>NMDM-0069</v>
      </c>
      <c r="D66" s="8">
        <f>+VLOOKUP(C:C,CtrlPozo!$B:$O,13,0)</f>
        <v>1.99</v>
      </c>
      <c r="E66" s="8">
        <f>+VLOOKUP(C:C,CtrlPozo!$B:$O,12,0)</f>
        <v>11.5</v>
      </c>
      <c r="F66" s="11">
        <f t="shared" si="1"/>
        <v>13.49</v>
      </c>
      <c r="G66" s="11">
        <f>IFERROR(VLOOKUP(C:C,CtrlPozo!$B:$O,10,0),"")</f>
        <v>1051</v>
      </c>
      <c r="H66" s="9" t="s">
        <v>96</v>
      </c>
      <c r="I66" s="9">
        <f>VLOOKUP(H:H,LP!$A:$C,3,0)</f>
        <v>4.25</v>
      </c>
      <c r="J66" s="10" t="s">
        <v>103</v>
      </c>
      <c r="K66" s="10" t="s">
        <v>35</v>
      </c>
      <c r="L66" s="34"/>
      <c r="M66" s="34" t="s">
        <v>172</v>
      </c>
      <c r="N66" s="34">
        <f>HLOOKUP(VLOOKUP(J66,BCConc!$B:$D,3,0),$D$1:$G$259,ROW(B66),0)</f>
        <v>13.49</v>
      </c>
      <c r="O66" s="34">
        <f t="shared" si="9"/>
        <v>3.3725000000000001</v>
      </c>
      <c r="P66" s="34">
        <v>250</v>
      </c>
      <c r="Q66" s="34"/>
      <c r="R66" s="58">
        <f t="shared" si="2"/>
        <v>102.86125</v>
      </c>
      <c r="S66" s="58">
        <f t="shared" si="3"/>
        <v>437.16031249999997</v>
      </c>
      <c r="T66" s="58" t="str">
        <f>VLOOKUP(J66,BCConc!$B:$E,4,0)</f>
        <v>RF</v>
      </c>
      <c r="U66" s="58" t="str">
        <f t="shared" si="4"/>
        <v>NMD</v>
      </c>
      <c r="V66" s="58" t="str">
        <f>VLOOKUP(U66,BCConc!$L$1:$M$36,2,0)</f>
        <v>Pozo</v>
      </c>
    </row>
    <row r="67" spans="1:22" ht="15" customHeight="1">
      <c r="A67" s="16" t="s">
        <v>165</v>
      </c>
      <c r="B67" s="8" t="s">
        <v>49</v>
      </c>
      <c r="C67" s="8"/>
      <c r="D67" s="11">
        <f>0.25*36.02</f>
        <v>9.0050000000000008</v>
      </c>
      <c r="E67" s="11">
        <f>0.25*680</f>
        <v>170</v>
      </c>
      <c r="F67" s="11">
        <f t="shared" si="1"/>
        <v>179.005</v>
      </c>
      <c r="G67" s="11" t="str">
        <f>IFERROR(VLOOKUP(C:C,CtrlPozo!$B:$O,10,0),"")</f>
        <v/>
      </c>
      <c r="H67" s="9" t="s">
        <v>101</v>
      </c>
      <c r="I67" s="9">
        <f>VLOOKUP(H:H,LP!$A:$C,3,0)</f>
        <v>4</v>
      </c>
      <c r="J67" s="10" t="s">
        <v>13</v>
      </c>
      <c r="K67" s="10" t="s">
        <v>7</v>
      </c>
      <c r="L67" s="34"/>
      <c r="M67" s="34" t="s">
        <v>172</v>
      </c>
      <c r="N67" s="34">
        <f>HLOOKUP(VLOOKUP(J67,BCConc!$B:$D,3,0),$D$1:$G$259,ROW(B67),0)</f>
        <v>9.0050000000000008</v>
      </c>
      <c r="O67" s="34">
        <f t="shared" si="9"/>
        <v>1.8010000000000002</v>
      </c>
      <c r="P67" s="34">
        <v>200</v>
      </c>
      <c r="Q67" s="34"/>
      <c r="R67" s="58">
        <f t="shared" si="2"/>
        <v>54.930500000000002</v>
      </c>
      <c r="S67" s="58">
        <f t="shared" si="3"/>
        <v>219.72200000000001</v>
      </c>
      <c r="T67" s="58" t="str">
        <f>VLOOKUP(J67,BCConc!$B:$E,4,0)</f>
        <v>DB</v>
      </c>
      <c r="U67" s="58" t="str">
        <f t="shared" si="4"/>
        <v>COL</v>
      </c>
      <c r="V67" s="58" t="str">
        <f>VLOOKUP(U67,BCConc!$L$1:$M$36,2,0)</f>
        <v>Colector</v>
      </c>
    </row>
    <row r="68" spans="1:22" ht="15" customHeight="1">
      <c r="A68" s="16" t="s">
        <v>165</v>
      </c>
      <c r="B68" s="8" t="s">
        <v>50</v>
      </c>
      <c r="C68" s="8"/>
      <c r="D68" s="11">
        <f>0.25*36.02</f>
        <v>9.0050000000000008</v>
      </c>
      <c r="E68" s="11">
        <f>0.25*680</f>
        <v>170</v>
      </c>
      <c r="F68" s="11">
        <f t="shared" ref="F68:F131" si="10">E68+D68</f>
        <v>179.005</v>
      </c>
      <c r="G68" s="11" t="str">
        <f>IFERROR(VLOOKUP(C:C,CtrlPozo!$B:$O,10,0),"")</f>
        <v/>
      </c>
      <c r="H68" s="9" t="s">
        <v>101</v>
      </c>
      <c r="I68" s="9">
        <f>VLOOKUP(H:H,LP!$A:$C,3,0)</f>
        <v>4</v>
      </c>
      <c r="J68" s="10" t="s">
        <v>13</v>
      </c>
      <c r="K68" s="10" t="s">
        <v>7</v>
      </c>
      <c r="L68" s="34"/>
      <c r="M68" s="34" t="s">
        <v>172</v>
      </c>
      <c r="N68" s="34">
        <f>HLOOKUP(VLOOKUP(J68,BCConc!$B:$D,3,0),$D$1:$G$259,ROW(B68),0)</f>
        <v>9.0050000000000008</v>
      </c>
      <c r="O68" s="34">
        <f t="shared" si="9"/>
        <v>1.8010000000000002</v>
      </c>
      <c r="P68" s="34">
        <v>200</v>
      </c>
      <c r="Q68" s="34"/>
      <c r="R68" s="58">
        <f t="shared" ref="R68:R131" si="11">IF(O68&gt;0,O68*30.5,IF(AND(M68="BATCH",L68="SEMANAL"),Q68*4,IF(AND(M68="BATCH",L68="Quincenal"),Q68*2,IF(AND(M68="ENCAPSULADO",L68="8M"),Q68/8,IF(AND(M68="ENCAPSULADO",L68="6M"),Q68/6,IF(AND(M68="ENCAPSULADO",L68="4M"),Q68/4,IF(AND(M68="ENCAPSULADO",L68="3M"),Q68/3,"")))))))</f>
        <v>54.930500000000002</v>
      </c>
      <c r="S68" s="58">
        <f t="shared" ref="S68:S131" si="12">R68*I68</f>
        <v>219.72200000000001</v>
      </c>
      <c r="T68" s="58" t="str">
        <f>VLOOKUP(J68,BCConc!$B:$E,4,0)</f>
        <v>DB</v>
      </c>
      <c r="U68" s="58" t="str">
        <f t="shared" ref="U68:U131" si="13">MID(B68,1,3)</f>
        <v>COL</v>
      </c>
      <c r="V68" s="58" t="str">
        <f>VLOOKUP(U68,BCConc!$L$1:$M$36,2,0)</f>
        <v>Colector</v>
      </c>
    </row>
    <row r="69" spans="1:22" ht="15" customHeight="1">
      <c r="A69" s="16" t="s">
        <v>165</v>
      </c>
      <c r="B69" s="8" t="s">
        <v>51</v>
      </c>
      <c r="C69" s="8" t="s">
        <v>369</v>
      </c>
      <c r="D69" s="8">
        <f>VLOOKUP(C:C,CtrlBat!$A:$D,3,0)</f>
        <v>36.020000000000003</v>
      </c>
      <c r="E69" s="8">
        <f>VLOOKUP(C:C,CtrlBat!$A:$D,4,0)</f>
        <v>680.72</v>
      </c>
      <c r="F69" s="11">
        <f t="shared" si="10"/>
        <v>716.74</v>
      </c>
      <c r="G69" s="11" t="str">
        <f>IFERROR(VLOOKUP(C:C,CtrlPozo!$B:$O,10,0),"")</f>
        <v/>
      </c>
      <c r="H69" s="9" t="s">
        <v>129</v>
      </c>
      <c r="I69" s="9">
        <f>VLOOKUP(H:H,LP!$A:$C,3,0)</f>
        <v>5.44</v>
      </c>
      <c r="J69" s="10" t="s">
        <v>44</v>
      </c>
      <c r="K69" s="10" t="s">
        <v>52</v>
      </c>
      <c r="L69" s="34"/>
      <c r="M69" s="34" t="s">
        <v>172</v>
      </c>
      <c r="N69" s="34">
        <f>HLOOKUP(VLOOKUP(J69,BCConc!$B:$D,3,0),$D$1:$G$259,ROW(B69),0)</f>
        <v>716.74</v>
      </c>
      <c r="O69" s="34">
        <f>N69*P69/1000</f>
        <v>53.755499999999998</v>
      </c>
      <c r="P69" s="34">
        <v>75</v>
      </c>
      <c r="Q69" s="34"/>
      <c r="R69" s="58">
        <f t="shared" si="11"/>
        <v>1639.5427499999998</v>
      </c>
      <c r="S69" s="58">
        <f t="shared" si="12"/>
        <v>8919.1125599999996</v>
      </c>
      <c r="T69" s="58" t="str">
        <f>VLOOKUP(J69,BCConc!$B:$E,4,0)</f>
        <v>RT</v>
      </c>
      <c r="U69" s="58" t="str">
        <f t="shared" si="13"/>
        <v>PIL</v>
      </c>
      <c r="V69" s="58" t="str">
        <f>VLOOKUP(U69,BCConc!$L$1:$M$36,2,0)</f>
        <v>Planta</v>
      </c>
    </row>
    <row r="70" spans="1:22" ht="15" customHeight="1">
      <c r="A70" s="16" t="s">
        <v>165</v>
      </c>
      <c r="B70" s="8" t="s">
        <v>53</v>
      </c>
      <c r="C70" s="8" t="s">
        <v>369</v>
      </c>
      <c r="D70" s="8">
        <f>VLOOKUP(C:C,CtrlBat!$A:$D,3,0)</f>
        <v>36.020000000000003</v>
      </c>
      <c r="E70" s="8">
        <f>VLOOKUP(C:C,CtrlBat!$A:$D,4,0)</f>
        <v>680.72</v>
      </c>
      <c r="F70" s="11">
        <f t="shared" si="10"/>
        <v>716.74</v>
      </c>
      <c r="G70" s="11" t="str">
        <f>IFERROR(VLOOKUP(C:C,CtrlPozo!$B:$O,10,0),"")</f>
        <v/>
      </c>
      <c r="H70" s="9" t="s">
        <v>97</v>
      </c>
      <c r="I70" s="9">
        <f>VLOOKUP(H:H,LP!$A:$C,3,0)</f>
        <v>2.19</v>
      </c>
      <c r="J70" s="10" t="s">
        <v>12</v>
      </c>
      <c r="K70" s="10" t="s">
        <v>11</v>
      </c>
      <c r="L70" s="34"/>
      <c r="M70" s="34" t="s">
        <v>172</v>
      </c>
      <c r="N70" s="34">
        <f>HLOOKUP(VLOOKUP(J70,BCConc!$B:$D,3,0),$D$1:$G$259,ROW(B70),0)</f>
        <v>680.72</v>
      </c>
      <c r="O70" s="34">
        <f t="shared" ref="O70:O76" si="14">P70*N70/1000</f>
        <v>13.614400000000002</v>
      </c>
      <c r="P70" s="34">
        <v>20</v>
      </c>
      <c r="Q70" s="34"/>
      <c r="R70" s="58">
        <f t="shared" si="11"/>
        <v>415.23920000000004</v>
      </c>
      <c r="S70" s="58">
        <f t="shared" si="12"/>
        <v>909.37384800000007</v>
      </c>
      <c r="T70" s="58" t="str">
        <f>VLOOKUP(J70,BCConc!$B:$E,4,0)</f>
        <v>IC</v>
      </c>
      <c r="U70" s="58" t="str">
        <f t="shared" si="13"/>
        <v>BOM</v>
      </c>
      <c r="V70" s="58" t="str">
        <f>VLOOKUP(U70,BCConc!$L$1:$M$36,2,0)</f>
        <v>Oleoducto</v>
      </c>
    </row>
    <row r="71" spans="1:22" ht="15" customHeight="1">
      <c r="A71" s="16" t="s">
        <v>165</v>
      </c>
      <c r="B71" s="8" t="s">
        <v>53</v>
      </c>
      <c r="C71" s="8" t="s">
        <v>369</v>
      </c>
      <c r="D71" s="8">
        <f>VLOOKUP(C:C,CtrlBat!$A:$D,3,0)</f>
        <v>36.020000000000003</v>
      </c>
      <c r="E71" s="8">
        <f>VLOOKUP(C:C,CtrlBat!$A:$D,4,0)</f>
        <v>680.72</v>
      </c>
      <c r="F71" s="11">
        <f t="shared" si="10"/>
        <v>716.74</v>
      </c>
      <c r="G71" s="11" t="str">
        <f>IFERROR(VLOOKUP(C:C,CtrlPozo!$B:$O,10,0),"")</f>
        <v/>
      </c>
      <c r="H71" s="9" t="s">
        <v>99</v>
      </c>
      <c r="I71" s="9">
        <f>VLOOKUP(H:H,LP!$A:$C,3,0)</f>
        <v>4.38</v>
      </c>
      <c r="J71" s="10" t="s">
        <v>46</v>
      </c>
      <c r="K71" s="10" t="s">
        <v>11</v>
      </c>
      <c r="L71" s="34"/>
      <c r="M71" s="34" t="s">
        <v>172</v>
      </c>
      <c r="N71" s="34">
        <f>HLOOKUP(VLOOKUP(J71,BCConc!$B:$D,3,0),$D$1:$G$259,ROW(B71),0)</f>
        <v>716.74</v>
      </c>
      <c r="O71" s="34">
        <f t="shared" si="14"/>
        <v>71.674000000000007</v>
      </c>
      <c r="P71" s="34">
        <v>100</v>
      </c>
      <c r="Q71" s="34"/>
      <c r="R71" s="58">
        <f t="shared" si="11"/>
        <v>2186.0570000000002</v>
      </c>
      <c r="S71" s="58">
        <f t="shared" si="12"/>
        <v>9574.9296600000016</v>
      </c>
      <c r="T71" s="58" t="str">
        <f>VLOOKUP(J71,BCConc!$B:$E,4,0)</f>
        <v>DP</v>
      </c>
      <c r="U71" s="58" t="str">
        <f t="shared" si="13"/>
        <v>BOM</v>
      </c>
      <c r="V71" s="58" t="str">
        <f>VLOOKUP(U71,BCConc!$L$1:$M$36,2,0)</f>
        <v>Oleoducto</v>
      </c>
    </row>
    <row r="72" spans="1:22" ht="15" customHeight="1">
      <c r="A72" s="17" t="s">
        <v>161</v>
      </c>
      <c r="B72" s="8" t="s">
        <v>43</v>
      </c>
      <c r="C72" s="8"/>
      <c r="D72" s="8">
        <f>0.333*58.47</f>
        <v>19.470510000000001</v>
      </c>
      <c r="E72" s="8">
        <f>0.33*584</f>
        <v>192.72</v>
      </c>
      <c r="F72" s="11">
        <f t="shared" si="10"/>
        <v>212.19050999999999</v>
      </c>
      <c r="G72" s="11" t="str">
        <f>IFERROR(VLOOKUP(C:C,CtrlPozo!$B:$O,10,0),"")</f>
        <v/>
      </c>
      <c r="H72" s="9" t="s">
        <v>18</v>
      </c>
      <c r="I72" s="9">
        <f>VLOOKUP(H:H,LP!$A:$C,3,0)</f>
        <v>2.65</v>
      </c>
      <c r="J72" s="12" t="s">
        <v>19</v>
      </c>
      <c r="K72" s="10" t="s">
        <v>11</v>
      </c>
      <c r="L72" s="34"/>
      <c r="M72" s="34" t="s">
        <v>172</v>
      </c>
      <c r="N72" s="34">
        <f>HLOOKUP(VLOOKUP(J72,BCConc!$B:$D,3,0),$D$1:$G$259,ROW(B72),0)</f>
        <v>192.72</v>
      </c>
      <c r="O72" s="34">
        <f t="shared" si="14"/>
        <v>3.8544</v>
      </c>
      <c r="P72" s="34">
        <v>20</v>
      </c>
      <c r="Q72" s="34"/>
      <c r="R72" s="58">
        <f t="shared" si="11"/>
        <v>117.5592</v>
      </c>
      <c r="S72" s="58">
        <f t="shared" si="12"/>
        <v>311.53188</v>
      </c>
      <c r="T72" s="58" t="str">
        <f>VLOOKUP(J72,BCConc!$B:$E,4,0)</f>
        <v>CY</v>
      </c>
      <c r="U72" s="58" t="str">
        <f t="shared" si="13"/>
        <v>EMP</v>
      </c>
      <c r="V72" s="58" t="str">
        <f>VLOOKUP(U72,BCConc!$L$1:$M$36,2,0)</f>
        <v>Empalme</v>
      </c>
    </row>
    <row r="73" spans="1:22" ht="15" customHeight="1">
      <c r="A73" s="17" t="s">
        <v>161</v>
      </c>
      <c r="B73" s="8" t="s">
        <v>43</v>
      </c>
      <c r="C73" s="8"/>
      <c r="D73" s="8">
        <f>0.333*58.47</f>
        <v>19.470510000000001</v>
      </c>
      <c r="E73" s="8">
        <f>0.33*584</f>
        <v>192.72</v>
      </c>
      <c r="F73" s="11">
        <f t="shared" si="10"/>
        <v>212.19050999999999</v>
      </c>
      <c r="G73" s="11" t="str">
        <f>IFERROR(VLOOKUP(C:C,CtrlPozo!$B:$O,10,0),"")</f>
        <v/>
      </c>
      <c r="H73" s="9" t="s">
        <v>98</v>
      </c>
      <c r="I73" s="9">
        <f>VLOOKUP(H:H,LP!$A:$C,3,0)</f>
        <v>6.94</v>
      </c>
      <c r="J73" s="12" t="s">
        <v>10</v>
      </c>
      <c r="K73" s="10" t="s">
        <v>11</v>
      </c>
      <c r="L73" s="34"/>
      <c r="M73" s="34" t="s">
        <v>172</v>
      </c>
      <c r="N73" s="34">
        <f>HLOOKUP(VLOOKUP(J73,BCConc!$B:$D,3,0),$D$1:$G$259,ROW(B73),0)</f>
        <v>192.72</v>
      </c>
      <c r="O73" s="34">
        <f t="shared" si="14"/>
        <v>5.7816000000000001</v>
      </c>
      <c r="P73" s="34">
        <v>30</v>
      </c>
      <c r="Q73" s="34"/>
      <c r="R73" s="58">
        <f t="shared" si="11"/>
        <v>176.33879999999999</v>
      </c>
      <c r="S73" s="58">
        <f t="shared" si="12"/>
        <v>1223.7912719999999</v>
      </c>
      <c r="T73" s="58" t="str">
        <f>VLOOKUP(J73,BCConc!$B:$E,4,0)</f>
        <v>BX</v>
      </c>
      <c r="U73" s="58" t="str">
        <f t="shared" si="13"/>
        <v>EMP</v>
      </c>
      <c r="V73" s="58" t="str">
        <f>VLOOKUP(U73,BCConc!$L$1:$M$36,2,0)</f>
        <v>Empalme</v>
      </c>
    </row>
    <row r="74" spans="1:22" ht="15" customHeight="1">
      <c r="A74" s="17" t="s">
        <v>161</v>
      </c>
      <c r="B74" s="8" t="s">
        <v>54</v>
      </c>
      <c r="C74" s="8"/>
      <c r="D74" s="8">
        <f>0.333*58.47</f>
        <v>19.470510000000001</v>
      </c>
      <c r="E74" s="8">
        <f>0.33*584</f>
        <v>192.72</v>
      </c>
      <c r="F74" s="11">
        <f t="shared" si="10"/>
        <v>212.19050999999999</v>
      </c>
      <c r="G74" s="11" t="str">
        <f>IFERROR(VLOOKUP(C:C,CtrlPozo!$B:$O,10,0),"")</f>
        <v/>
      </c>
      <c r="H74" s="9" t="s">
        <v>101</v>
      </c>
      <c r="I74" s="9">
        <f>VLOOKUP(H:H,LP!$A:$C,3,0)</f>
        <v>4</v>
      </c>
      <c r="J74" s="10" t="s">
        <v>13</v>
      </c>
      <c r="K74" s="10" t="s">
        <v>7</v>
      </c>
      <c r="L74" s="34"/>
      <c r="M74" s="34" t="s">
        <v>172</v>
      </c>
      <c r="N74" s="34">
        <f>HLOOKUP(VLOOKUP(J74,BCConc!$B:$D,3,0),$D$1:$G$259,ROW(B74),0)</f>
        <v>19.470510000000001</v>
      </c>
      <c r="O74" s="34">
        <f t="shared" si="14"/>
        <v>3.8941020000000002</v>
      </c>
      <c r="P74" s="34">
        <v>200</v>
      </c>
      <c r="Q74" s="34"/>
      <c r="R74" s="58">
        <f t="shared" si="11"/>
        <v>118.770111</v>
      </c>
      <c r="S74" s="58">
        <f t="shared" si="12"/>
        <v>475.080444</v>
      </c>
      <c r="T74" s="58" t="str">
        <f>VLOOKUP(J74,BCConc!$B:$E,4,0)</f>
        <v>DB</v>
      </c>
      <c r="U74" s="58" t="str">
        <f t="shared" si="13"/>
        <v>COL</v>
      </c>
      <c r="V74" s="58" t="str">
        <f>VLOOKUP(U74,BCConc!$L$1:$M$36,2,0)</f>
        <v>Colector</v>
      </c>
    </row>
    <row r="75" spans="1:22" ht="15" customHeight="1">
      <c r="A75" s="17" t="s">
        <v>161</v>
      </c>
      <c r="B75" s="8" t="s">
        <v>54</v>
      </c>
      <c r="C75" s="8"/>
      <c r="D75" s="8">
        <f>0.333*58.47</f>
        <v>19.470510000000001</v>
      </c>
      <c r="E75" s="8">
        <f>0.33*584</f>
        <v>192.72</v>
      </c>
      <c r="F75" s="11">
        <f t="shared" si="10"/>
        <v>212.19050999999999</v>
      </c>
      <c r="G75" s="11" t="str">
        <f>IFERROR(VLOOKUP(C:C,CtrlPozo!$B:$O,10,0),"")</f>
        <v/>
      </c>
      <c r="H75" s="9" t="s">
        <v>28</v>
      </c>
      <c r="I75" s="9">
        <f>VLOOKUP(H:H,LP!$A:$C,3,0)</f>
        <v>4.41</v>
      </c>
      <c r="J75" s="10" t="s">
        <v>29</v>
      </c>
      <c r="K75" s="10" t="s">
        <v>7</v>
      </c>
      <c r="L75" s="34"/>
      <c r="M75" s="34" t="s">
        <v>172</v>
      </c>
      <c r="N75" s="34">
        <f>HLOOKUP(VLOOKUP(J75,BCConc!$B:$D,3,0),$D$1:$G$259,ROW(B75),0)</f>
        <v>19.470510000000001</v>
      </c>
      <c r="O75" s="34">
        <f t="shared" si="14"/>
        <v>4.8676275000000002</v>
      </c>
      <c r="P75" s="34">
        <v>250</v>
      </c>
      <c r="Q75" s="34"/>
      <c r="R75" s="58">
        <f t="shared" si="11"/>
        <v>148.46263875</v>
      </c>
      <c r="S75" s="58">
        <f t="shared" si="12"/>
        <v>654.72023688750005</v>
      </c>
      <c r="T75" s="58" t="str">
        <f>VLOOKUP(J75,BCConc!$B:$E,4,0)</f>
        <v>HS</v>
      </c>
      <c r="U75" s="58" t="str">
        <f t="shared" si="13"/>
        <v>COL</v>
      </c>
      <c r="V75" s="58" t="str">
        <f>VLOOKUP(U75,BCConc!$L$1:$M$36,2,0)</f>
        <v>Colector</v>
      </c>
    </row>
    <row r="76" spans="1:22" ht="15" customHeight="1">
      <c r="A76" s="17" t="s">
        <v>161</v>
      </c>
      <c r="B76" s="8" t="s">
        <v>27</v>
      </c>
      <c r="C76" s="8"/>
      <c r="D76" s="8">
        <v>58.47</v>
      </c>
      <c r="E76" s="8">
        <v>584</v>
      </c>
      <c r="F76" s="11">
        <f t="shared" si="10"/>
        <v>642.47</v>
      </c>
      <c r="G76" s="11" t="str">
        <f>IFERROR(VLOOKUP(C:C,CtrlPozo!$B:$O,10,0),"")</f>
        <v/>
      </c>
      <c r="H76" s="9" t="s">
        <v>101</v>
      </c>
      <c r="I76" s="9">
        <f>VLOOKUP(H:H,LP!$A:$C,3,0)</f>
        <v>4</v>
      </c>
      <c r="J76" s="10" t="s">
        <v>13</v>
      </c>
      <c r="K76" s="10" t="s">
        <v>55</v>
      </c>
      <c r="L76" s="34"/>
      <c r="M76" s="34" t="s">
        <v>172</v>
      </c>
      <c r="N76" s="34">
        <f>HLOOKUP(VLOOKUP(J76,BCConc!$B:$D,3,0),$D$1:$G$259,ROW(B76),0)</f>
        <v>58.47</v>
      </c>
      <c r="O76" s="34">
        <f t="shared" si="14"/>
        <v>11.694000000000001</v>
      </c>
      <c r="P76" s="34">
        <v>200</v>
      </c>
      <c r="Q76" s="34"/>
      <c r="R76" s="58">
        <f t="shared" si="11"/>
        <v>356.66700000000003</v>
      </c>
      <c r="S76" s="58">
        <f t="shared" si="12"/>
        <v>1426.6680000000001</v>
      </c>
      <c r="T76" s="58" t="str">
        <f>VLOOKUP(J76,BCConc!$B:$E,4,0)</f>
        <v>DB</v>
      </c>
      <c r="U76" s="58" t="str">
        <f t="shared" si="13"/>
        <v xml:space="preserve">TK </v>
      </c>
      <c r="V76" s="58" t="str">
        <f>VLOOKUP(U76,BCConc!$L$1:$M$36,2,0)</f>
        <v>Planta</v>
      </c>
    </row>
    <row r="77" spans="1:22" ht="15" customHeight="1">
      <c r="A77" s="17" t="s">
        <v>161</v>
      </c>
      <c r="B77" s="8" t="s">
        <v>51</v>
      </c>
      <c r="C77" s="8"/>
      <c r="D77" s="8">
        <v>58.47</v>
      </c>
      <c r="E77" s="8">
        <v>584</v>
      </c>
      <c r="F77" s="11">
        <f t="shared" si="10"/>
        <v>642.47</v>
      </c>
      <c r="G77" s="11" t="str">
        <f>IFERROR(VLOOKUP(C:C,CtrlPozo!$B:$O,10,0),"")</f>
        <v/>
      </c>
      <c r="H77" s="9" t="s">
        <v>129</v>
      </c>
      <c r="I77" s="9">
        <f>VLOOKUP(H:H,LP!$A:$C,3,0)</f>
        <v>5.44</v>
      </c>
      <c r="J77" s="10" t="s">
        <v>44</v>
      </c>
      <c r="K77" s="10" t="s">
        <v>52</v>
      </c>
      <c r="L77" s="34"/>
      <c r="M77" s="34" t="s">
        <v>172</v>
      </c>
      <c r="N77" s="34">
        <f>HLOOKUP(VLOOKUP(J77,BCConc!$B:$D,3,0),$D$1:$G$259,ROW(B77),0)</f>
        <v>642.47</v>
      </c>
      <c r="O77" s="34">
        <f>N77*P77/1000</f>
        <v>48.185250000000003</v>
      </c>
      <c r="P77" s="34">
        <v>75</v>
      </c>
      <c r="Q77" s="34"/>
      <c r="R77" s="58">
        <f t="shared" si="11"/>
        <v>1469.6501250000001</v>
      </c>
      <c r="S77" s="58">
        <f t="shared" si="12"/>
        <v>7994.8966800000017</v>
      </c>
      <c r="T77" s="58" t="str">
        <f>VLOOKUP(J77,BCConc!$B:$E,4,0)</f>
        <v>RT</v>
      </c>
      <c r="U77" s="58" t="str">
        <f t="shared" si="13"/>
        <v>PIL</v>
      </c>
      <c r="V77" s="58" t="str">
        <f>VLOOKUP(U77,BCConc!$L$1:$M$36,2,0)</f>
        <v>Planta</v>
      </c>
    </row>
    <row r="78" spans="1:22" ht="15" customHeight="1">
      <c r="A78" s="17" t="s">
        <v>161</v>
      </c>
      <c r="B78" s="8" t="s">
        <v>53</v>
      </c>
      <c r="C78" s="8"/>
      <c r="D78" s="8">
        <v>58.47</v>
      </c>
      <c r="E78" s="8">
        <v>584</v>
      </c>
      <c r="F78" s="11">
        <f t="shared" si="10"/>
        <v>642.47</v>
      </c>
      <c r="G78" s="11" t="str">
        <f>IFERROR(VLOOKUP(C:C,CtrlPozo!$B:$O,10,0),"")</f>
        <v/>
      </c>
      <c r="H78" s="9" t="s">
        <v>97</v>
      </c>
      <c r="I78" s="9">
        <f>VLOOKUP(H:H,LP!$A:$C,3,0)</f>
        <v>2.19</v>
      </c>
      <c r="J78" s="10" t="s">
        <v>12</v>
      </c>
      <c r="K78" s="10" t="s">
        <v>11</v>
      </c>
      <c r="L78" s="34"/>
      <c r="M78" s="34" t="s">
        <v>172</v>
      </c>
      <c r="N78" s="34">
        <f>HLOOKUP(VLOOKUP(J78,BCConc!$B:$D,3,0),$D$1:$G$259,ROW(B78),0)</f>
        <v>584</v>
      </c>
      <c r="O78" s="34">
        <f t="shared" ref="O78:O125" si="15">P78*N78/1000</f>
        <v>11.68</v>
      </c>
      <c r="P78" s="34">
        <v>20</v>
      </c>
      <c r="Q78" s="34"/>
      <c r="R78" s="58">
        <f t="shared" si="11"/>
        <v>356.24</v>
      </c>
      <c r="S78" s="58">
        <f t="shared" si="12"/>
        <v>780.16560000000004</v>
      </c>
      <c r="T78" s="58" t="str">
        <f>VLOOKUP(J78,BCConc!$B:$E,4,0)</f>
        <v>IC</v>
      </c>
      <c r="U78" s="58" t="str">
        <f t="shared" si="13"/>
        <v>BOM</v>
      </c>
      <c r="V78" s="58" t="str">
        <f>VLOOKUP(U78,BCConc!$L$1:$M$36,2,0)</f>
        <v>Oleoducto</v>
      </c>
    </row>
    <row r="79" spans="1:22" ht="15" customHeight="1">
      <c r="A79" s="17" t="s">
        <v>161</v>
      </c>
      <c r="B79" s="8" t="s">
        <v>53</v>
      </c>
      <c r="C79" s="8"/>
      <c r="D79" s="8">
        <v>58.47</v>
      </c>
      <c r="E79" s="8">
        <v>584</v>
      </c>
      <c r="F79" s="11">
        <f t="shared" si="10"/>
        <v>642.47</v>
      </c>
      <c r="G79" s="11" t="str">
        <f>IFERROR(VLOOKUP(C:C,CtrlPozo!$B:$O,10,0),"")</f>
        <v/>
      </c>
      <c r="H79" s="9" t="s">
        <v>99</v>
      </c>
      <c r="I79" s="9">
        <f>VLOOKUP(H:H,LP!$A:$C,3,0)</f>
        <v>4.38</v>
      </c>
      <c r="J79" s="10" t="s">
        <v>46</v>
      </c>
      <c r="K79" s="10" t="s">
        <v>11</v>
      </c>
      <c r="L79" s="34"/>
      <c r="M79" s="34" t="s">
        <v>172</v>
      </c>
      <c r="N79" s="34">
        <f>HLOOKUP(VLOOKUP(J79,BCConc!$B:$D,3,0),$D$1:$G$259,ROW(B79),0)</f>
        <v>642.47</v>
      </c>
      <c r="O79" s="34">
        <f t="shared" si="15"/>
        <v>64.247</v>
      </c>
      <c r="P79" s="34">
        <v>100</v>
      </c>
      <c r="Q79" s="34"/>
      <c r="R79" s="58">
        <f t="shared" si="11"/>
        <v>1959.5335</v>
      </c>
      <c r="S79" s="58">
        <f t="shared" si="12"/>
        <v>8582.7567299999992</v>
      </c>
      <c r="T79" s="58" t="str">
        <f>VLOOKUP(J79,BCConc!$B:$E,4,0)</f>
        <v>DP</v>
      </c>
      <c r="U79" s="58" t="str">
        <f t="shared" si="13"/>
        <v>BOM</v>
      </c>
      <c r="V79" s="58" t="str">
        <f>VLOOKUP(U79,BCConc!$L$1:$M$36,2,0)</f>
        <v>Oleoducto</v>
      </c>
    </row>
    <row r="80" spans="1:22" ht="15" customHeight="1">
      <c r="A80" s="17" t="s">
        <v>161</v>
      </c>
      <c r="B80" s="8" t="s">
        <v>56</v>
      </c>
      <c r="C80" s="8"/>
      <c r="D80" s="8">
        <v>58.47</v>
      </c>
      <c r="E80" s="8">
        <v>584</v>
      </c>
      <c r="F80" s="11">
        <f t="shared" si="10"/>
        <v>642.47</v>
      </c>
      <c r="G80" s="11" t="str">
        <f>IFERROR(VLOOKUP(C:C,CtrlPozo!$B:$O,10,0),"")</f>
        <v/>
      </c>
      <c r="H80" s="9" t="s">
        <v>57</v>
      </c>
      <c r="I80" s="9">
        <f>VLOOKUP(H:H,LP!$A:$C,3,0)</f>
        <v>1.27</v>
      </c>
      <c r="J80" s="10" t="s">
        <v>58</v>
      </c>
      <c r="K80" s="10" t="s">
        <v>26</v>
      </c>
      <c r="L80" s="34"/>
      <c r="M80" s="34" t="s">
        <v>172</v>
      </c>
      <c r="N80" s="34">
        <f>HLOOKUP(VLOOKUP(J80,BCConc!$B:$D,3,0),$D$1:$G$259,ROW(B80),0)</f>
        <v>584</v>
      </c>
      <c r="O80" s="34">
        <f t="shared" si="15"/>
        <v>17.52</v>
      </c>
      <c r="P80" s="34">
        <v>30</v>
      </c>
      <c r="Q80" s="34"/>
      <c r="R80" s="58">
        <f t="shared" si="11"/>
        <v>534.36</v>
      </c>
      <c r="S80" s="58">
        <f t="shared" si="12"/>
        <v>678.63720000000001</v>
      </c>
      <c r="T80" s="58" t="str">
        <f>VLOOKUP(J80,BCConc!$B:$E,4,0)</f>
        <v>SO</v>
      </c>
      <c r="U80" s="58" t="str">
        <f t="shared" si="13"/>
        <v xml:space="preserve">TK </v>
      </c>
      <c r="V80" s="58" t="str">
        <f>VLOOKUP(U80,BCConc!$L$1:$M$36,2,0)</f>
        <v>Planta</v>
      </c>
    </row>
    <row r="81" spans="1:22" ht="15" customHeight="1">
      <c r="A81" s="17" t="s">
        <v>161</v>
      </c>
      <c r="B81" s="18" t="s">
        <v>617</v>
      </c>
      <c r="C81" s="18" t="str">
        <f>B81</f>
        <v>NLCa-0088</v>
      </c>
      <c r="D81" s="8">
        <f>+VLOOKUP(C:C,CtrlPozo!$B:$O,13,0)</f>
        <v>1.88</v>
      </c>
      <c r="E81" s="8">
        <f>+VLOOKUP(C:C,CtrlPozo!$B:$O,12,0)</f>
        <v>33</v>
      </c>
      <c r="F81" s="11">
        <f t="shared" si="10"/>
        <v>34.880000000000003</v>
      </c>
      <c r="G81" s="11">
        <f>IFERROR(VLOOKUP(C:C,CtrlPozo!$B:$O,10,0),"")</f>
        <v>2492</v>
      </c>
      <c r="H81" s="9" t="s">
        <v>101</v>
      </c>
      <c r="I81" s="9">
        <f>VLOOKUP(H:H,LP!$A:$C,3,0)</f>
        <v>4</v>
      </c>
      <c r="J81" s="10" t="s">
        <v>13</v>
      </c>
      <c r="K81" s="10" t="s">
        <v>7</v>
      </c>
      <c r="L81" s="34"/>
      <c r="M81" s="34" t="s">
        <v>172</v>
      </c>
      <c r="N81" s="34">
        <f>HLOOKUP(VLOOKUP(J81,BCConc!$B:$D,3,0),$D$1:$G$259,ROW(B81),0)</f>
        <v>1.88</v>
      </c>
      <c r="O81" s="34">
        <f t="shared" si="15"/>
        <v>0.376</v>
      </c>
      <c r="P81" s="34">
        <v>200</v>
      </c>
      <c r="Q81" s="34"/>
      <c r="R81" s="58">
        <f t="shared" si="11"/>
        <v>11.468</v>
      </c>
      <c r="S81" s="58">
        <f t="shared" si="12"/>
        <v>45.872</v>
      </c>
      <c r="T81" s="58" t="str">
        <f>VLOOKUP(J81,BCConc!$B:$E,4,0)</f>
        <v>DB</v>
      </c>
      <c r="U81" s="58" t="str">
        <f t="shared" si="13"/>
        <v>NLC</v>
      </c>
      <c r="V81" s="58" t="str">
        <f>VLOOKUP(U81,BCConc!$L$1:$M$36,2,0)</f>
        <v>Pozo</v>
      </c>
    </row>
    <row r="82" spans="1:22" ht="15" customHeight="1">
      <c r="A82" s="17" t="s">
        <v>161</v>
      </c>
      <c r="B82" s="8" t="s">
        <v>24</v>
      </c>
      <c r="C82" s="8" t="s">
        <v>379</v>
      </c>
      <c r="D82" s="8">
        <f>VLOOKUP(C:C,CtrlBat!$A:$D,3,0)</f>
        <v>28.02</v>
      </c>
      <c r="E82" s="8">
        <f>VLOOKUP(C:C,CtrlBat!$A:$D,4,0)</f>
        <v>235.30999999999997</v>
      </c>
      <c r="F82" s="11">
        <f t="shared" si="10"/>
        <v>263.33</v>
      </c>
      <c r="G82" s="11" t="str">
        <f>IFERROR(VLOOKUP(C:C,CtrlPozo!$B:$O,10,0),"")</f>
        <v/>
      </c>
      <c r="H82" s="9" t="s">
        <v>101</v>
      </c>
      <c r="I82" s="9">
        <f>VLOOKUP(H:H,LP!$A:$C,3,0)</f>
        <v>4</v>
      </c>
      <c r="J82" s="10" t="s">
        <v>13</v>
      </c>
      <c r="K82" s="10" t="s">
        <v>7</v>
      </c>
      <c r="L82" s="34"/>
      <c r="M82" s="34" t="s">
        <v>172</v>
      </c>
      <c r="N82" s="34">
        <f>HLOOKUP(VLOOKUP(J82,BCConc!$B:$D,3,0),$D$1:$G$259,ROW(B82),0)</f>
        <v>28.02</v>
      </c>
      <c r="O82" s="34">
        <f t="shared" si="15"/>
        <v>5.6040000000000001</v>
      </c>
      <c r="P82" s="34">
        <v>200</v>
      </c>
      <c r="Q82" s="34"/>
      <c r="R82" s="58">
        <f t="shared" si="11"/>
        <v>170.922</v>
      </c>
      <c r="S82" s="58">
        <f t="shared" si="12"/>
        <v>683.68799999999999</v>
      </c>
      <c r="T82" s="58" t="str">
        <f>VLOOKUP(J82,BCConc!$B:$E,4,0)</f>
        <v>DB</v>
      </c>
      <c r="U82" s="58" t="str">
        <f t="shared" si="13"/>
        <v>BAT</v>
      </c>
      <c r="V82" s="58" t="str">
        <f>VLOOKUP(U82,BCConc!$L$1:$M$36,2,0)</f>
        <v>Bateria</v>
      </c>
    </row>
    <row r="83" spans="1:22" ht="15" customHeight="1">
      <c r="A83" s="17" t="s">
        <v>161</v>
      </c>
      <c r="B83" s="8" t="s">
        <v>24</v>
      </c>
      <c r="C83" s="8" t="s">
        <v>379</v>
      </c>
      <c r="D83" s="8">
        <f>VLOOKUP(C:C,CtrlBat!$A:$D,3,0)</f>
        <v>28.02</v>
      </c>
      <c r="E83" s="8">
        <f>VLOOKUP(C:C,CtrlBat!$A:$D,4,0)</f>
        <v>235.30999999999997</v>
      </c>
      <c r="F83" s="11">
        <f t="shared" si="10"/>
        <v>263.33</v>
      </c>
      <c r="G83" s="11" t="str">
        <f>IFERROR(VLOOKUP(C:C,CtrlPozo!$B:$O,10,0),"")</f>
        <v/>
      </c>
      <c r="H83" s="9" t="s">
        <v>96</v>
      </c>
      <c r="I83" s="9">
        <f>VLOOKUP(H:H,LP!$A:$C,3,0)</f>
        <v>4.25</v>
      </c>
      <c r="J83" s="10" t="s">
        <v>103</v>
      </c>
      <c r="K83" s="10" t="s">
        <v>11</v>
      </c>
      <c r="L83" s="34"/>
      <c r="M83" s="34" t="s">
        <v>172</v>
      </c>
      <c r="N83" s="34">
        <f>HLOOKUP(VLOOKUP(J83,BCConc!$B:$D,3,0),$D$1:$G$259,ROW(B83),0)</f>
        <v>263.33</v>
      </c>
      <c r="O83" s="34">
        <f t="shared" si="15"/>
        <v>65.832499999999996</v>
      </c>
      <c r="P83" s="34">
        <v>250</v>
      </c>
      <c r="Q83" s="34"/>
      <c r="R83" s="58">
        <f t="shared" si="11"/>
        <v>2007.8912499999999</v>
      </c>
      <c r="S83" s="58">
        <f t="shared" si="12"/>
        <v>8533.5378124999988</v>
      </c>
      <c r="T83" s="58" t="str">
        <f>VLOOKUP(J83,BCConc!$B:$E,4,0)</f>
        <v>RF</v>
      </c>
      <c r="U83" s="58" t="str">
        <f t="shared" si="13"/>
        <v>BAT</v>
      </c>
      <c r="V83" s="58" t="str">
        <f>VLOOKUP(U83,BCConc!$L$1:$M$36,2,0)</f>
        <v>Bateria</v>
      </c>
    </row>
    <row r="84" spans="1:22" ht="15" customHeight="1">
      <c r="A84" s="17" t="s">
        <v>161</v>
      </c>
      <c r="B84" s="8" t="s">
        <v>24</v>
      </c>
      <c r="C84" s="8" t="s">
        <v>379</v>
      </c>
      <c r="D84" s="8">
        <f>VLOOKUP(C:C,CtrlBat!$A:$D,3,0)</f>
        <v>28.02</v>
      </c>
      <c r="E84" s="8">
        <f>VLOOKUP(C:C,CtrlBat!$A:$D,4,0)</f>
        <v>235.30999999999997</v>
      </c>
      <c r="F84" s="11">
        <f t="shared" si="10"/>
        <v>263.33</v>
      </c>
      <c r="G84" s="11" t="str">
        <f>IFERROR(VLOOKUP(C:C,CtrlPozo!$B:$O,10,0),"")</f>
        <v/>
      </c>
      <c r="H84" s="9" t="s">
        <v>97</v>
      </c>
      <c r="I84" s="9">
        <f>VLOOKUP(H:H,LP!$A:$C,3,0)</f>
        <v>2.19</v>
      </c>
      <c r="J84" s="10" t="s">
        <v>12</v>
      </c>
      <c r="K84" s="10" t="s">
        <v>11</v>
      </c>
      <c r="L84" s="34"/>
      <c r="M84" s="34" t="s">
        <v>172</v>
      </c>
      <c r="N84" s="34">
        <f>HLOOKUP(VLOOKUP(J84,BCConc!$B:$D,3,0),$D$1:$G$259,ROW(B84),0)</f>
        <v>235.30999999999997</v>
      </c>
      <c r="O84" s="34">
        <f t="shared" si="15"/>
        <v>4.7061999999999999</v>
      </c>
      <c r="P84" s="34">
        <v>20</v>
      </c>
      <c r="Q84" s="34"/>
      <c r="R84" s="58">
        <f t="shared" si="11"/>
        <v>143.53909999999999</v>
      </c>
      <c r="S84" s="58">
        <f t="shared" si="12"/>
        <v>314.35062899999997</v>
      </c>
      <c r="T84" s="58" t="str">
        <f>VLOOKUP(J84,BCConc!$B:$E,4,0)</f>
        <v>IC</v>
      </c>
      <c r="U84" s="58" t="str">
        <f t="shared" si="13"/>
        <v>BAT</v>
      </c>
      <c r="V84" s="58" t="str">
        <f>VLOOKUP(U84,BCConc!$L$1:$M$36,2,0)</f>
        <v>Bateria</v>
      </c>
    </row>
    <row r="85" spans="1:22" ht="15" customHeight="1">
      <c r="A85" s="17" t="s">
        <v>161</v>
      </c>
      <c r="B85" s="8" t="s">
        <v>59</v>
      </c>
      <c r="C85" s="8"/>
      <c r="D85" s="8">
        <f>0.333*58.47</f>
        <v>19.470510000000001</v>
      </c>
      <c r="E85" s="8">
        <f>0.33*584</f>
        <v>192.72</v>
      </c>
      <c r="F85" s="11">
        <f t="shared" si="10"/>
        <v>212.19050999999999</v>
      </c>
      <c r="G85" s="11" t="str">
        <f>IFERROR(VLOOKUP(C:C,CtrlPozo!$B:$O,10,0),"")</f>
        <v/>
      </c>
      <c r="H85" s="9" t="s">
        <v>101</v>
      </c>
      <c r="I85" s="9">
        <f>VLOOKUP(H:H,LP!$A:$C,3,0)</f>
        <v>4</v>
      </c>
      <c r="J85" s="10" t="s">
        <v>13</v>
      </c>
      <c r="K85" s="10" t="s">
        <v>7</v>
      </c>
      <c r="L85" s="34"/>
      <c r="M85" s="34" t="s">
        <v>172</v>
      </c>
      <c r="N85" s="34">
        <f>HLOOKUP(VLOOKUP(J85,BCConc!$B:$D,3,0),$D$1:$G$259,ROW(B85),0)</f>
        <v>19.470510000000001</v>
      </c>
      <c r="O85" s="34">
        <f t="shared" si="15"/>
        <v>3.8941020000000002</v>
      </c>
      <c r="P85" s="34">
        <v>200</v>
      </c>
      <c r="Q85" s="34"/>
      <c r="R85" s="58">
        <f t="shared" si="11"/>
        <v>118.770111</v>
      </c>
      <c r="S85" s="58">
        <f t="shared" si="12"/>
        <v>475.080444</v>
      </c>
      <c r="T85" s="58" t="str">
        <f>VLOOKUP(J85,BCConc!$B:$E,4,0)</f>
        <v>DB</v>
      </c>
      <c r="U85" s="58" t="str">
        <f t="shared" si="13"/>
        <v>COL</v>
      </c>
      <c r="V85" s="58" t="str">
        <f>VLOOKUP(U85,BCConc!$L$1:$M$36,2,0)</f>
        <v>Colector</v>
      </c>
    </row>
    <row r="86" spans="1:22" ht="15" customHeight="1">
      <c r="A86" s="17" t="s">
        <v>161</v>
      </c>
      <c r="B86" s="8" t="s">
        <v>617</v>
      </c>
      <c r="C86" s="18" t="str">
        <f>B86</f>
        <v>NLCa-0088</v>
      </c>
      <c r="D86" s="8">
        <f>+VLOOKUP(C:C,CtrlPozo!$B:$O,13,0)</f>
        <v>1.88</v>
      </c>
      <c r="E86" s="8">
        <f>+VLOOKUP(C:C,CtrlPozo!$B:$O,12,0)</f>
        <v>33</v>
      </c>
      <c r="F86" s="11">
        <f t="shared" si="10"/>
        <v>34.880000000000003</v>
      </c>
      <c r="G86" s="11">
        <f>IFERROR(VLOOKUP(C:C,CtrlPozo!$B:$O,10,0),"")</f>
        <v>2492</v>
      </c>
      <c r="H86" s="9" t="s">
        <v>96</v>
      </c>
      <c r="I86" s="9">
        <f>VLOOKUP(H:H,LP!$A:$C,3,0)</f>
        <v>4.25</v>
      </c>
      <c r="J86" s="10" t="s">
        <v>103</v>
      </c>
      <c r="K86" s="10" t="s">
        <v>36</v>
      </c>
      <c r="L86" s="34"/>
      <c r="M86" s="34" t="s">
        <v>172</v>
      </c>
      <c r="N86" s="34">
        <f>HLOOKUP(VLOOKUP(J86,BCConc!$B:$D,3,0),$D$1:$G$259,ROW(B86),0)</f>
        <v>34.880000000000003</v>
      </c>
      <c r="O86" s="34">
        <f t="shared" si="15"/>
        <v>8.7200000000000006</v>
      </c>
      <c r="P86" s="34">
        <v>250</v>
      </c>
      <c r="Q86" s="34"/>
      <c r="R86" s="58">
        <f t="shared" si="11"/>
        <v>265.96000000000004</v>
      </c>
      <c r="S86" s="58">
        <f t="shared" si="12"/>
        <v>1130.3300000000002</v>
      </c>
      <c r="T86" s="58" t="str">
        <f>VLOOKUP(J86,BCConc!$B:$E,4,0)</f>
        <v>RF</v>
      </c>
      <c r="U86" s="58" t="str">
        <f t="shared" si="13"/>
        <v>NLC</v>
      </c>
      <c r="V86" s="58" t="str">
        <f>VLOOKUP(U86,BCConc!$L$1:$M$36,2,0)</f>
        <v>Pozo</v>
      </c>
    </row>
    <row r="87" spans="1:22" ht="15" customHeight="1">
      <c r="A87" s="17" t="s">
        <v>161</v>
      </c>
      <c r="B87" s="11" t="s">
        <v>60</v>
      </c>
      <c r="C87" s="18" t="str">
        <f>B87</f>
        <v>NLCa-0138</v>
      </c>
      <c r="D87" s="8">
        <f>+VLOOKUP(C:C,CtrlPozo!$B:$O,13,0)</f>
        <v>6.3</v>
      </c>
      <c r="E87" s="8">
        <f>+VLOOKUP(C:C,CtrlPozo!$B:$O,12,0)</f>
        <v>123.62</v>
      </c>
      <c r="F87" s="11">
        <f t="shared" si="10"/>
        <v>129.92000000000002</v>
      </c>
      <c r="G87" s="11">
        <f>IFERROR(VLOOKUP(C:C,CtrlPozo!$B:$O,10,0),"")</f>
        <v>6539</v>
      </c>
      <c r="H87" s="9" t="s">
        <v>131</v>
      </c>
      <c r="I87" s="9">
        <f>VLOOKUP(H:H,LP!$A:$C,3,0)</f>
        <v>4.8099999999999996</v>
      </c>
      <c r="J87" s="10" t="s">
        <v>12</v>
      </c>
      <c r="K87" s="10" t="s">
        <v>36</v>
      </c>
      <c r="L87" s="34"/>
      <c r="M87" s="34" t="s">
        <v>172</v>
      </c>
      <c r="N87" s="34">
        <f>HLOOKUP(VLOOKUP(J87,BCConc!$B:$D,3,0),$D$1:$G$259,ROW(B87),0)</f>
        <v>123.62</v>
      </c>
      <c r="O87" s="34">
        <f t="shared" si="15"/>
        <v>2.4723999999999999</v>
      </c>
      <c r="P87" s="34">
        <v>20</v>
      </c>
      <c r="Q87" s="34"/>
      <c r="R87" s="58">
        <f t="shared" si="11"/>
        <v>75.408199999999994</v>
      </c>
      <c r="S87" s="58">
        <f t="shared" si="12"/>
        <v>362.71344199999993</v>
      </c>
      <c r="T87" s="58" t="str">
        <f>VLOOKUP(J87,BCConc!$B:$E,4,0)</f>
        <v>IC</v>
      </c>
      <c r="U87" s="58" t="str">
        <f t="shared" si="13"/>
        <v>NLC</v>
      </c>
      <c r="V87" s="58" t="str">
        <f>VLOOKUP(U87,BCConc!$L$1:$M$36,2,0)</f>
        <v>Pozo</v>
      </c>
    </row>
    <row r="88" spans="1:22" ht="15" customHeight="1">
      <c r="A88" s="19" t="s">
        <v>168</v>
      </c>
      <c r="B88" s="8" t="s">
        <v>61</v>
      </c>
      <c r="C88" s="8"/>
      <c r="D88" s="8">
        <f>0.33*84.74</f>
        <v>27.964199999999998</v>
      </c>
      <c r="E88" s="8">
        <f>0.33*47</f>
        <v>15.510000000000002</v>
      </c>
      <c r="F88" s="11">
        <f t="shared" si="10"/>
        <v>43.474199999999996</v>
      </c>
      <c r="G88" s="11" t="str">
        <f>IFERROR(VLOOKUP(C:C,CtrlPozo!$B:$O,10,0),"")</f>
        <v/>
      </c>
      <c r="H88" s="9" t="s">
        <v>97</v>
      </c>
      <c r="I88" s="9">
        <f>VLOOKUP(H:H,LP!$A:$C,3,0)</f>
        <v>2.19</v>
      </c>
      <c r="J88" s="10" t="s">
        <v>12</v>
      </c>
      <c r="K88" s="10" t="s">
        <v>7</v>
      </c>
      <c r="L88" s="34"/>
      <c r="M88" s="34" t="s">
        <v>172</v>
      </c>
      <c r="N88" s="34">
        <f>HLOOKUP(VLOOKUP(J88,BCConc!$B:$D,3,0),$D$1:$G$259,ROW(B88),0)</f>
        <v>15.510000000000002</v>
      </c>
      <c r="O88" s="34">
        <f t="shared" si="15"/>
        <v>1.2408000000000001</v>
      </c>
      <c r="P88" s="34">
        <v>80</v>
      </c>
      <c r="Q88" s="34"/>
      <c r="R88" s="58">
        <f t="shared" si="11"/>
        <v>37.844400000000007</v>
      </c>
      <c r="S88" s="58">
        <f t="shared" si="12"/>
        <v>82.87923600000002</v>
      </c>
      <c r="T88" s="58" t="str">
        <f>VLOOKUP(J88,BCConc!$B:$E,4,0)</f>
        <v>IC</v>
      </c>
      <c r="U88" s="58" t="str">
        <f t="shared" si="13"/>
        <v>COL</v>
      </c>
      <c r="V88" s="58" t="str">
        <f>VLOOKUP(U88,BCConc!$L$1:$M$36,2,0)</f>
        <v>Colector</v>
      </c>
    </row>
    <row r="89" spans="1:22" ht="15" customHeight="1">
      <c r="A89" s="19" t="s">
        <v>168</v>
      </c>
      <c r="B89" s="8" t="s">
        <v>61</v>
      </c>
      <c r="C89" s="8"/>
      <c r="D89" s="8">
        <f>0.33*84.74</f>
        <v>27.964199999999998</v>
      </c>
      <c r="E89" s="8">
        <f>0.33*47</f>
        <v>15.510000000000002</v>
      </c>
      <c r="F89" s="11">
        <f t="shared" si="10"/>
        <v>43.474199999999996</v>
      </c>
      <c r="G89" s="11" t="str">
        <f>IFERROR(VLOOKUP(C:C,CtrlPozo!$B:$O,10,0),"")</f>
        <v/>
      </c>
      <c r="H89" s="12" t="s">
        <v>16</v>
      </c>
      <c r="I89" s="9">
        <f>VLOOKUP(H:H,LP!$A:$C,3,0)</f>
        <v>2.5</v>
      </c>
      <c r="J89" s="10" t="s">
        <v>17</v>
      </c>
      <c r="K89" s="10" t="s">
        <v>7</v>
      </c>
      <c r="L89" s="34"/>
      <c r="M89" s="34" t="s">
        <v>172</v>
      </c>
      <c r="N89" s="34">
        <f>HLOOKUP(VLOOKUP(J89,BCConc!$B:$D,3,0),$D$1:$G$259,ROW(B89),0)</f>
        <v>43.474199999999996</v>
      </c>
      <c r="O89" s="34">
        <f t="shared" si="15"/>
        <v>0.86948399999999992</v>
      </c>
      <c r="P89" s="34">
        <v>20</v>
      </c>
      <c r="Q89" s="34"/>
      <c r="R89" s="58">
        <f t="shared" si="11"/>
        <v>26.519261999999998</v>
      </c>
      <c r="S89" s="58">
        <f t="shared" si="12"/>
        <v>66.298154999999994</v>
      </c>
      <c r="T89" s="58" t="str">
        <f>VLOOKUP(J89,BCConc!$B:$E,4,0)</f>
        <v>AB</v>
      </c>
      <c r="U89" s="58" t="str">
        <f t="shared" si="13"/>
        <v>COL</v>
      </c>
      <c r="V89" s="58" t="str">
        <f>VLOOKUP(U89,BCConc!$L$1:$M$36,2,0)</f>
        <v>Colector</v>
      </c>
    </row>
    <row r="90" spans="1:22" ht="15" customHeight="1">
      <c r="A90" s="19" t="s">
        <v>168</v>
      </c>
      <c r="B90" s="8" t="s">
        <v>41</v>
      </c>
      <c r="C90" s="8" t="s">
        <v>436</v>
      </c>
      <c r="D90" s="8">
        <f>VLOOKUP(C:C,CtrlBat!$A:$D,3,0)</f>
        <v>84.739999999999981</v>
      </c>
      <c r="E90" s="8">
        <f>VLOOKUP(C:C,CtrlBat!$A:$D,4,0)</f>
        <v>47.050000000000004</v>
      </c>
      <c r="F90" s="11">
        <f t="shared" si="10"/>
        <v>131.79</v>
      </c>
      <c r="G90" s="11" t="str">
        <f>IFERROR(VLOOKUP(C:C,CtrlPozo!$B:$O,10,0),"")</f>
        <v/>
      </c>
      <c r="H90" s="12" t="s">
        <v>124</v>
      </c>
      <c r="I90" s="9">
        <f>VLOOKUP(H:H,LP!$A:$C,3,0)</f>
        <v>2.79</v>
      </c>
      <c r="J90" s="10" t="s">
        <v>13</v>
      </c>
      <c r="K90" s="10" t="s">
        <v>26</v>
      </c>
      <c r="L90" s="34"/>
      <c r="M90" s="34" t="s">
        <v>172</v>
      </c>
      <c r="N90" s="34">
        <f>HLOOKUP(VLOOKUP(J90,BCConc!$B:$D,3,0),$D$1:$G$259,ROW(B90),0)</f>
        <v>84.739999999999981</v>
      </c>
      <c r="O90" s="34">
        <f t="shared" si="15"/>
        <v>6.3554999999999984</v>
      </c>
      <c r="P90" s="34">
        <v>75</v>
      </c>
      <c r="Q90" s="34"/>
      <c r="R90" s="58">
        <f t="shared" si="11"/>
        <v>193.84274999999994</v>
      </c>
      <c r="S90" s="58">
        <f t="shared" si="12"/>
        <v>540.82127249999985</v>
      </c>
      <c r="T90" s="58" t="str">
        <f>VLOOKUP(J90,BCConc!$B:$E,4,0)</f>
        <v>DB</v>
      </c>
      <c r="U90" s="58" t="str">
        <f t="shared" si="13"/>
        <v>BAT</v>
      </c>
      <c r="V90" s="58" t="str">
        <f>VLOOKUP(U90,BCConc!$L$1:$M$36,2,0)</f>
        <v>Bateria</v>
      </c>
    </row>
    <row r="91" spans="1:22" ht="15" customHeight="1">
      <c r="A91" s="19" t="s">
        <v>168</v>
      </c>
      <c r="B91" s="8" t="s">
        <v>53</v>
      </c>
      <c r="C91" s="8" t="s">
        <v>436</v>
      </c>
      <c r="D91" s="8">
        <f>VLOOKUP(C:C,CtrlBat!$A:$D,3,0)</f>
        <v>84.739999999999981</v>
      </c>
      <c r="E91" s="8">
        <f>VLOOKUP(C:C,CtrlBat!$A:$D,4,0)</f>
        <v>47.050000000000004</v>
      </c>
      <c r="F91" s="11">
        <f t="shared" si="10"/>
        <v>131.79</v>
      </c>
      <c r="G91" s="11" t="str">
        <f>IFERROR(VLOOKUP(C:C,CtrlPozo!$B:$O,10,0),"")</f>
        <v/>
      </c>
      <c r="H91" s="9" t="s">
        <v>18</v>
      </c>
      <c r="I91" s="9">
        <f>VLOOKUP(H:H,LP!$A:$C,3,0)</f>
        <v>2.65</v>
      </c>
      <c r="J91" s="12" t="s">
        <v>19</v>
      </c>
      <c r="K91" s="10" t="s">
        <v>11</v>
      </c>
      <c r="L91" s="34"/>
      <c r="M91" s="34" t="s">
        <v>172</v>
      </c>
      <c r="N91" s="34">
        <f>HLOOKUP(VLOOKUP(J91,BCConc!$B:$D,3,0),$D$1:$G$259,ROW(B91),0)</f>
        <v>47.050000000000004</v>
      </c>
      <c r="O91" s="34">
        <f t="shared" si="15"/>
        <v>0.94100000000000006</v>
      </c>
      <c r="P91" s="34">
        <v>20</v>
      </c>
      <c r="Q91" s="34"/>
      <c r="R91" s="58">
        <f t="shared" si="11"/>
        <v>28.700500000000002</v>
      </c>
      <c r="S91" s="58">
        <f t="shared" si="12"/>
        <v>76.056325000000001</v>
      </c>
      <c r="T91" s="58" t="str">
        <f>VLOOKUP(J91,BCConc!$B:$E,4,0)</f>
        <v>CY</v>
      </c>
      <c r="U91" s="58" t="str">
        <f t="shared" si="13"/>
        <v>BOM</v>
      </c>
      <c r="V91" s="58" t="str">
        <f>VLOOKUP(U91,BCConc!$L$1:$M$36,2,0)</f>
        <v>Oleoducto</v>
      </c>
    </row>
    <row r="92" spans="1:22" ht="15" customHeight="1">
      <c r="A92" s="19" t="s">
        <v>168</v>
      </c>
      <c r="B92" s="8" t="s">
        <v>53</v>
      </c>
      <c r="C92" s="8" t="s">
        <v>436</v>
      </c>
      <c r="D92" s="8">
        <f>VLOOKUP(C:C,CtrlBat!$A:$D,3,0)</f>
        <v>84.739999999999981</v>
      </c>
      <c r="E92" s="8">
        <f>VLOOKUP(C:C,CtrlBat!$A:$D,4,0)</f>
        <v>47.050000000000004</v>
      </c>
      <c r="F92" s="11">
        <f t="shared" si="10"/>
        <v>131.79</v>
      </c>
      <c r="G92" s="11" t="str">
        <f>IFERROR(VLOOKUP(C:C,CtrlPozo!$B:$O,10,0),"")</f>
        <v/>
      </c>
      <c r="H92" s="12" t="s">
        <v>124</v>
      </c>
      <c r="I92" s="9">
        <f>VLOOKUP(H:H,LP!$A:$C,3,0)</f>
        <v>2.79</v>
      </c>
      <c r="J92" s="12" t="s">
        <v>103</v>
      </c>
      <c r="K92" s="10" t="s">
        <v>11</v>
      </c>
      <c r="L92" s="34"/>
      <c r="M92" s="34" t="s">
        <v>172</v>
      </c>
      <c r="N92" s="34">
        <f>HLOOKUP(VLOOKUP(J92,BCConc!$B:$D,3,0),$D$1:$G$259,ROW(B92),0)</f>
        <v>131.79</v>
      </c>
      <c r="O92" s="34">
        <f t="shared" si="15"/>
        <v>9.8842499999999998</v>
      </c>
      <c r="P92" s="34">
        <v>75</v>
      </c>
      <c r="Q92" s="34"/>
      <c r="R92" s="58">
        <f t="shared" si="11"/>
        <v>301.46962500000001</v>
      </c>
      <c r="S92" s="58">
        <f t="shared" si="12"/>
        <v>841.10025374999998</v>
      </c>
      <c r="T92" s="58" t="str">
        <f>VLOOKUP(J92,BCConc!$B:$E,4,0)</f>
        <v>RF</v>
      </c>
      <c r="U92" s="58" t="str">
        <f t="shared" si="13"/>
        <v>BOM</v>
      </c>
      <c r="V92" s="58" t="str">
        <f>VLOOKUP(U92,BCConc!$L$1:$M$36,2,0)</f>
        <v>Oleoducto</v>
      </c>
    </row>
    <row r="93" spans="1:22" ht="15" customHeight="1">
      <c r="A93" s="19" t="s">
        <v>168</v>
      </c>
      <c r="B93" s="8" t="s">
        <v>62</v>
      </c>
      <c r="C93" s="8"/>
      <c r="D93" s="8">
        <f>0.33*84.74</f>
        <v>27.964199999999998</v>
      </c>
      <c r="E93" s="8">
        <f>0.33*47</f>
        <v>15.510000000000002</v>
      </c>
      <c r="F93" s="11">
        <f t="shared" si="10"/>
        <v>43.474199999999996</v>
      </c>
      <c r="G93" s="11" t="str">
        <f>IFERROR(VLOOKUP(C:C,CtrlPozo!$B:$O,10,0),"")</f>
        <v/>
      </c>
      <c r="H93" s="12" t="s">
        <v>124</v>
      </c>
      <c r="I93" s="9">
        <f>VLOOKUP(H:H,LP!$A:$C,3,0)</f>
        <v>2.79</v>
      </c>
      <c r="J93" s="12" t="s">
        <v>13</v>
      </c>
      <c r="K93" s="10" t="s">
        <v>7</v>
      </c>
      <c r="L93" s="34"/>
      <c r="M93" s="34" t="s">
        <v>172</v>
      </c>
      <c r="N93" s="34">
        <f>HLOOKUP(VLOOKUP(J93,BCConc!$B:$D,3,0),$D$1:$G$259,ROW(B93),0)</f>
        <v>27.964199999999998</v>
      </c>
      <c r="O93" s="34">
        <f t="shared" si="15"/>
        <v>2.097315</v>
      </c>
      <c r="P93" s="34">
        <v>75</v>
      </c>
      <c r="Q93" s="34"/>
      <c r="R93" s="58">
        <f t="shared" si="11"/>
        <v>63.968107500000002</v>
      </c>
      <c r="S93" s="58">
        <f t="shared" si="12"/>
        <v>178.47101992500001</v>
      </c>
      <c r="T93" s="58" t="str">
        <f>VLOOKUP(J93,BCConc!$B:$E,4,0)</f>
        <v>DB</v>
      </c>
      <c r="U93" s="58" t="str">
        <f t="shared" si="13"/>
        <v>COL</v>
      </c>
      <c r="V93" s="58" t="str">
        <f>VLOOKUP(U93,BCConc!$L$1:$M$36,2,0)</f>
        <v>Colector</v>
      </c>
    </row>
    <row r="94" spans="1:22" ht="15" customHeight="1">
      <c r="A94" s="19" t="s">
        <v>168</v>
      </c>
      <c r="B94" s="8" t="s">
        <v>63</v>
      </c>
      <c r="C94" s="8"/>
      <c r="D94" s="8">
        <f>0.33*84.74</f>
        <v>27.964199999999998</v>
      </c>
      <c r="E94" s="8">
        <f>0.33*47</f>
        <v>15.510000000000002</v>
      </c>
      <c r="F94" s="11">
        <f t="shared" si="10"/>
        <v>43.474199999999996</v>
      </c>
      <c r="G94" s="11" t="str">
        <f>IFERROR(VLOOKUP(C:C,CtrlPozo!$B:$O,10,0),"")</f>
        <v/>
      </c>
      <c r="H94" s="9" t="s">
        <v>97</v>
      </c>
      <c r="I94" s="9">
        <f>VLOOKUP(H:H,LP!$A:$C,3,0)</f>
        <v>2.19</v>
      </c>
      <c r="J94" s="10" t="s">
        <v>12</v>
      </c>
      <c r="K94" s="10" t="s">
        <v>7</v>
      </c>
      <c r="L94" s="34"/>
      <c r="M94" s="34" t="s">
        <v>172</v>
      </c>
      <c r="N94" s="34">
        <f>HLOOKUP(VLOOKUP(J94,BCConc!$B:$D,3,0),$D$1:$G$259,ROW(B94),0)</f>
        <v>15.510000000000002</v>
      </c>
      <c r="O94" s="34">
        <f t="shared" si="15"/>
        <v>1.2408000000000001</v>
      </c>
      <c r="P94" s="34">
        <v>80</v>
      </c>
      <c r="Q94" s="34"/>
      <c r="R94" s="58">
        <f t="shared" si="11"/>
        <v>37.844400000000007</v>
      </c>
      <c r="S94" s="58">
        <f t="shared" si="12"/>
        <v>82.87923600000002</v>
      </c>
      <c r="T94" s="58" t="str">
        <f>VLOOKUP(J94,BCConc!$B:$E,4,0)</f>
        <v>IC</v>
      </c>
      <c r="U94" s="58" t="str">
        <f t="shared" si="13"/>
        <v>COL</v>
      </c>
      <c r="V94" s="58" t="str">
        <f>VLOOKUP(U94,BCConc!$L$1:$M$36,2,0)</f>
        <v>Colector</v>
      </c>
    </row>
    <row r="95" spans="1:22" ht="15" customHeight="1">
      <c r="A95" s="19" t="s">
        <v>168</v>
      </c>
      <c r="B95" s="8" t="s">
        <v>145</v>
      </c>
      <c r="C95" s="8" t="str">
        <f t="shared" ref="C95" si="16">B95</f>
        <v>NPP-0024</v>
      </c>
      <c r="D95" s="8">
        <f>+VLOOKUP(C:C,CtrlPozo!$B:$O,13,0)</f>
        <v>3.25</v>
      </c>
      <c r="E95" s="8">
        <f>+VLOOKUP(C:C,CtrlPozo!$B:$O,12,0)</f>
        <v>6.91</v>
      </c>
      <c r="F95" s="11">
        <f t="shared" si="10"/>
        <v>10.16</v>
      </c>
      <c r="G95" s="11">
        <f>IFERROR(VLOOKUP(C:C,CtrlPozo!$B:$O,10,0),"")</f>
        <v>5</v>
      </c>
      <c r="H95" s="9" t="s">
        <v>96</v>
      </c>
      <c r="I95" s="9">
        <f>VLOOKUP(H:H,LP!$A:$C,3,0)</f>
        <v>4.25</v>
      </c>
      <c r="J95" s="10" t="s">
        <v>103</v>
      </c>
      <c r="K95" s="10" t="s">
        <v>35</v>
      </c>
      <c r="L95" s="34"/>
      <c r="M95" s="34" t="s">
        <v>172</v>
      </c>
      <c r="N95" s="34">
        <f>HLOOKUP(VLOOKUP(J95,BCConc!$B:$D,3,0),$D$1:$G$259,ROW(B95),0)</f>
        <v>10.16</v>
      </c>
      <c r="O95" s="34">
        <f t="shared" si="15"/>
        <v>2.54</v>
      </c>
      <c r="P95" s="34">
        <v>250</v>
      </c>
      <c r="Q95" s="34"/>
      <c r="R95" s="58">
        <f t="shared" si="11"/>
        <v>77.47</v>
      </c>
      <c r="S95" s="58">
        <f t="shared" si="12"/>
        <v>329.2475</v>
      </c>
      <c r="T95" s="58" t="str">
        <f>VLOOKUP(J95,BCConc!$B:$E,4,0)</f>
        <v>RF</v>
      </c>
      <c r="U95" s="58" t="str">
        <f t="shared" si="13"/>
        <v>NPP</v>
      </c>
      <c r="V95" s="58" t="str">
        <f>VLOOKUP(U95,BCConc!$L$1:$M$36,2,0)</f>
        <v>Pozo</v>
      </c>
    </row>
    <row r="96" spans="1:22" ht="15" customHeight="1">
      <c r="A96" s="19" t="s">
        <v>168</v>
      </c>
      <c r="B96" s="8" t="s">
        <v>64</v>
      </c>
      <c r="C96" s="8" t="str">
        <f t="shared" ref="C96:C99" si="17">B96</f>
        <v>NPP-0046</v>
      </c>
      <c r="D96" s="8">
        <f>+VLOOKUP(C:C,CtrlPozo!$B:$O,13,0)</f>
        <v>9.11</v>
      </c>
      <c r="E96" s="8">
        <f>+VLOOKUP(C:C,CtrlPozo!$B:$O,12,0)</f>
        <v>4.29</v>
      </c>
      <c r="F96" s="11">
        <f t="shared" si="10"/>
        <v>13.399999999999999</v>
      </c>
      <c r="G96" s="11">
        <f>IFERROR(VLOOKUP(C:C,CtrlPozo!$B:$O,10,0),"")</f>
        <v>5</v>
      </c>
      <c r="H96" s="9" t="s">
        <v>96</v>
      </c>
      <c r="I96" s="9">
        <f>VLOOKUP(H:H,LP!$A:$C,3,0)</f>
        <v>4.25</v>
      </c>
      <c r="J96" s="10" t="s">
        <v>103</v>
      </c>
      <c r="K96" s="10" t="s">
        <v>35</v>
      </c>
      <c r="L96" s="34"/>
      <c r="M96" s="34" t="s">
        <v>172</v>
      </c>
      <c r="N96" s="34">
        <f>HLOOKUP(VLOOKUP(J96,BCConc!$B:$D,3,0),$D$1:$G$259,ROW(B96),0)</f>
        <v>13.399999999999999</v>
      </c>
      <c r="O96" s="34">
        <f t="shared" si="15"/>
        <v>3.3499999999999996</v>
      </c>
      <c r="P96" s="34">
        <v>250</v>
      </c>
      <c r="Q96" s="34"/>
      <c r="R96" s="58">
        <f t="shared" si="11"/>
        <v>102.17499999999998</v>
      </c>
      <c r="S96" s="58">
        <f t="shared" si="12"/>
        <v>434.24374999999992</v>
      </c>
      <c r="T96" s="58" t="str">
        <f>VLOOKUP(J96,BCConc!$B:$E,4,0)</f>
        <v>RF</v>
      </c>
      <c r="U96" s="58" t="str">
        <f t="shared" si="13"/>
        <v>NPP</v>
      </c>
      <c r="V96" s="58" t="str">
        <f>VLOOKUP(U96,BCConc!$L$1:$M$36,2,0)</f>
        <v>Pozo</v>
      </c>
    </row>
    <row r="97" spans="1:22" ht="15" customHeight="1">
      <c r="A97" s="19" t="s">
        <v>168</v>
      </c>
      <c r="B97" s="8" t="s">
        <v>65</v>
      </c>
      <c r="C97" s="8" t="str">
        <f t="shared" si="17"/>
        <v>NPP-0030</v>
      </c>
      <c r="D97" s="8">
        <f>+VLOOKUP(C:C,CtrlPozo!$B:$O,13,0)</f>
        <v>3.96</v>
      </c>
      <c r="E97" s="8">
        <f>+VLOOKUP(C:C,CtrlPozo!$B:$O,12,0)</f>
        <v>0.3</v>
      </c>
      <c r="F97" s="11">
        <f t="shared" si="10"/>
        <v>4.26</v>
      </c>
      <c r="G97" s="11">
        <f>IFERROR(VLOOKUP(C:C,CtrlPozo!$B:$O,10,0),"")</f>
        <v>5</v>
      </c>
      <c r="H97" s="9" t="s">
        <v>99</v>
      </c>
      <c r="I97" s="9">
        <f>VLOOKUP(H:H,LP!$A:$C,3,0)</f>
        <v>4.38</v>
      </c>
      <c r="J97" s="10" t="s">
        <v>46</v>
      </c>
      <c r="K97" s="10" t="s">
        <v>36</v>
      </c>
      <c r="L97" s="34"/>
      <c r="M97" s="34" t="s">
        <v>172</v>
      </c>
      <c r="N97" s="34">
        <f>HLOOKUP(VLOOKUP(J97,BCConc!$B:$D,3,0),$D$1:$G$259,ROW(B97),0)</f>
        <v>4.26</v>
      </c>
      <c r="O97" s="34">
        <f t="shared" si="15"/>
        <v>2.13</v>
      </c>
      <c r="P97" s="34">
        <v>500</v>
      </c>
      <c r="Q97" s="34"/>
      <c r="R97" s="58">
        <f t="shared" si="11"/>
        <v>64.965000000000003</v>
      </c>
      <c r="S97" s="58">
        <f t="shared" si="12"/>
        <v>284.54669999999999</v>
      </c>
      <c r="T97" s="58" t="str">
        <f>VLOOKUP(J97,BCConc!$B:$E,4,0)</f>
        <v>DP</v>
      </c>
      <c r="U97" s="58" t="str">
        <f t="shared" si="13"/>
        <v>NPP</v>
      </c>
      <c r="V97" s="58" t="str">
        <f>VLOOKUP(U97,BCConc!$L$1:$M$36,2,0)</f>
        <v>Pozo</v>
      </c>
    </row>
    <row r="98" spans="1:22" ht="15" customHeight="1">
      <c r="A98" s="19" t="s">
        <v>168</v>
      </c>
      <c r="B98" s="8" t="s">
        <v>66</v>
      </c>
      <c r="C98" s="8" t="str">
        <f t="shared" si="17"/>
        <v>NPP-0006</v>
      </c>
      <c r="D98" s="8">
        <f>+VLOOKUP(C:C,CtrlPozo!$B:$O,13,0)</f>
        <v>6.9</v>
      </c>
      <c r="E98" s="8">
        <f>+VLOOKUP(C:C,CtrlPozo!$B:$O,12,0)</f>
        <v>0.11</v>
      </c>
      <c r="F98" s="11">
        <f t="shared" si="10"/>
        <v>7.0100000000000007</v>
      </c>
      <c r="G98" s="11">
        <f>IFERROR(VLOOKUP(C:C,CtrlPozo!$B:$O,10,0),"")</f>
        <v>7</v>
      </c>
      <c r="H98" s="9" t="s">
        <v>99</v>
      </c>
      <c r="I98" s="9">
        <f>VLOOKUP(H:H,LP!$A:$C,3,0)</f>
        <v>4.38</v>
      </c>
      <c r="J98" s="10" t="s">
        <v>46</v>
      </c>
      <c r="K98" s="10" t="s">
        <v>36</v>
      </c>
      <c r="L98" s="34"/>
      <c r="M98" s="34" t="s">
        <v>172</v>
      </c>
      <c r="N98" s="34">
        <f>HLOOKUP(VLOOKUP(J98,BCConc!$B:$D,3,0),$D$1:$G$259,ROW(B98),0)</f>
        <v>7.0100000000000007</v>
      </c>
      <c r="O98" s="34">
        <f t="shared" si="15"/>
        <v>3.5050000000000003</v>
      </c>
      <c r="P98" s="34">
        <v>500</v>
      </c>
      <c r="Q98" s="34"/>
      <c r="R98" s="58">
        <f t="shared" si="11"/>
        <v>106.9025</v>
      </c>
      <c r="S98" s="58">
        <f t="shared" si="12"/>
        <v>468.23295000000002</v>
      </c>
      <c r="T98" s="58" t="str">
        <f>VLOOKUP(J98,BCConc!$B:$E,4,0)</f>
        <v>DP</v>
      </c>
      <c r="U98" s="58" t="str">
        <f t="shared" si="13"/>
        <v>NPP</v>
      </c>
      <c r="V98" s="58" t="str">
        <f>VLOOKUP(U98,BCConc!$L$1:$M$36,2,0)</f>
        <v>Pozo</v>
      </c>
    </row>
    <row r="99" spans="1:22" ht="15" customHeight="1">
      <c r="A99" s="19" t="s">
        <v>168</v>
      </c>
      <c r="B99" s="34" t="s">
        <v>66</v>
      </c>
      <c r="C99" s="8" t="str">
        <f t="shared" si="17"/>
        <v>NPP-0006</v>
      </c>
      <c r="D99" s="8">
        <f>+VLOOKUP(C:C,CtrlPozo!$B:$O,13,0)</f>
        <v>6.9</v>
      </c>
      <c r="E99" s="8">
        <f>+VLOOKUP(C:C,CtrlPozo!$B:$O,12,0)</f>
        <v>0.11</v>
      </c>
      <c r="F99" s="11">
        <f t="shared" si="10"/>
        <v>7.0100000000000007</v>
      </c>
      <c r="G99" s="11">
        <f>IFERROR(VLOOKUP(C:C,CtrlPozo!$B:$O,10,0),"")</f>
        <v>7</v>
      </c>
      <c r="H99" s="9" t="s">
        <v>96</v>
      </c>
      <c r="I99" s="9">
        <f>VLOOKUP(H:H,LP!$A:$C,3,0)</f>
        <v>4.25</v>
      </c>
      <c r="J99" s="10" t="s">
        <v>103</v>
      </c>
      <c r="K99" s="10" t="s">
        <v>35</v>
      </c>
      <c r="L99" s="34"/>
      <c r="M99" s="34" t="s">
        <v>172</v>
      </c>
      <c r="N99" s="34">
        <f>HLOOKUP(VLOOKUP(J99,BCConc!$B:$D,3,0),$D$1:$G$259,ROW(B99),0)</f>
        <v>7.0100000000000007</v>
      </c>
      <c r="O99" s="34">
        <f t="shared" si="15"/>
        <v>1.7525000000000002</v>
      </c>
      <c r="P99" s="34">
        <v>250</v>
      </c>
      <c r="Q99" s="34"/>
      <c r="R99" s="58">
        <f t="shared" si="11"/>
        <v>53.451250000000002</v>
      </c>
      <c r="S99" s="58">
        <f t="shared" si="12"/>
        <v>227.1678125</v>
      </c>
      <c r="T99" s="58" t="str">
        <f>VLOOKUP(J99,BCConc!$B:$E,4,0)</f>
        <v>RF</v>
      </c>
      <c r="U99" s="58" t="str">
        <f t="shared" si="13"/>
        <v>NPP</v>
      </c>
      <c r="V99" s="58" t="str">
        <f>VLOOKUP(U99,BCConc!$L$1:$M$36,2,0)</f>
        <v>Pozo</v>
      </c>
    </row>
    <row r="100" spans="1:22" ht="15" customHeight="1">
      <c r="A100" s="20" t="s">
        <v>159</v>
      </c>
      <c r="B100" s="21" t="s">
        <v>24</v>
      </c>
      <c r="C100" s="21" t="s">
        <v>800</v>
      </c>
      <c r="D100" s="8">
        <f>VLOOKUP(C:C,CtrlBat!$A:$D,3,0)</f>
        <v>21.679999999999996</v>
      </c>
      <c r="E100" s="8">
        <f>VLOOKUP(C:C,CtrlBat!$A:$D,4,0)</f>
        <v>247.22</v>
      </c>
      <c r="F100" s="11">
        <f t="shared" si="10"/>
        <v>268.89999999999998</v>
      </c>
      <c r="G100" s="11" t="str">
        <f>IFERROR(VLOOKUP(C:C,CtrlPozo!$B:$O,10,0),"")</f>
        <v/>
      </c>
      <c r="H100" s="9" t="s">
        <v>101</v>
      </c>
      <c r="I100" s="9">
        <f>VLOOKUP(H:H,LP!$A:$C,3,0)</f>
        <v>4</v>
      </c>
      <c r="J100" s="10" t="s">
        <v>13</v>
      </c>
      <c r="K100" s="10" t="s">
        <v>26</v>
      </c>
      <c r="L100" s="34"/>
      <c r="M100" s="34" t="s">
        <v>172</v>
      </c>
      <c r="N100" s="34">
        <f>HLOOKUP(VLOOKUP(J100,BCConc!$B:$D,3,0),$D$1:$G$259,ROW(B100),0)</f>
        <v>21.679999999999996</v>
      </c>
      <c r="O100" s="34">
        <f t="shared" si="15"/>
        <v>4.3359999999999994</v>
      </c>
      <c r="P100" s="34">
        <v>200</v>
      </c>
      <c r="Q100" s="34"/>
      <c r="R100" s="58">
        <f t="shared" si="11"/>
        <v>132.24799999999999</v>
      </c>
      <c r="S100" s="58">
        <f t="shared" si="12"/>
        <v>528.99199999999996</v>
      </c>
      <c r="T100" s="58" t="str">
        <f>VLOOKUP(J100,BCConc!$B:$E,4,0)</f>
        <v>DB</v>
      </c>
      <c r="U100" s="58" t="str">
        <f t="shared" si="13"/>
        <v>BAT</v>
      </c>
      <c r="V100" s="58" t="str">
        <f>VLOOKUP(U100,BCConc!$L$1:$M$36,2,0)</f>
        <v>Bateria</v>
      </c>
    </row>
    <row r="101" spans="1:22" ht="15" customHeight="1">
      <c r="A101" s="20" t="s">
        <v>159</v>
      </c>
      <c r="B101" s="21" t="s">
        <v>824</v>
      </c>
      <c r="C101" s="18" t="str">
        <f>B101</f>
        <v>NLA-15</v>
      </c>
      <c r="D101" s="8">
        <f>+VLOOKUP(C:C,CtrlPozo!$B:$O,13,0)</f>
        <v>1.4</v>
      </c>
      <c r="E101" s="8">
        <f>+VLOOKUP(C:C,CtrlPozo!$B:$O,12,0)</f>
        <v>22.09</v>
      </c>
      <c r="F101" s="11">
        <f t="shared" si="10"/>
        <v>23.49</v>
      </c>
      <c r="G101" s="11">
        <f>IFERROR(VLOOKUP(C:C,CtrlPozo!$B:$O,10,0),"")</f>
        <v>3272.73</v>
      </c>
      <c r="H101" s="9" t="s">
        <v>96</v>
      </c>
      <c r="I101" s="9">
        <f>VLOOKUP(H:H,LP!$A:$C,3,0)</f>
        <v>4.25</v>
      </c>
      <c r="J101" s="10" t="s">
        <v>103</v>
      </c>
      <c r="K101" s="10" t="s">
        <v>35</v>
      </c>
      <c r="L101" s="34"/>
      <c r="M101" s="34" t="s">
        <v>172</v>
      </c>
      <c r="N101" s="34">
        <f>HLOOKUP(VLOOKUP(J101,BCConc!$B:$D,3,0),$D$1:$G$259,ROW(B101),0)</f>
        <v>23.49</v>
      </c>
      <c r="O101" s="34">
        <f t="shared" si="15"/>
        <v>5.8724999999999996</v>
      </c>
      <c r="P101" s="34">
        <v>250</v>
      </c>
      <c r="Q101" s="34"/>
      <c r="R101" s="58">
        <f t="shared" si="11"/>
        <v>179.11124999999998</v>
      </c>
      <c r="S101" s="58">
        <f t="shared" si="12"/>
        <v>761.22281249999992</v>
      </c>
      <c r="T101" s="58" t="str">
        <f>VLOOKUP(J101,BCConc!$B:$E,4,0)</f>
        <v>RF</v>
      </c>
      <c r="U101" s="58" t="str">
        <f t="shared" si="13"/>
        <v>NLA</v>
      </c>
      <c r="V101" s="58" t="str">
        <f>VLOOKUP(U101,BCConc!$L$1:$M$36,2,0)</f>
        <v>Pozo</v>
      </c>
    </row>
    <row r="102" spans="1:22" ht="15" customHeight="1">
      <c r="A102" s="20" t="s">
        <v>159</v>
      </c>
      <c r="B102" s="21" t="s">
        <v>824</v>
      </c>
      <c r="C102" s="18" t="str">
        <f>B102</f>
        <v>NLA-15</v>
      </c>
      <c r="D102" s="8">
        <f>+VLOOKUP(C:C,CtrlPozo!$B:$O,13,0)</f>
        <v>1.4</v>
      </c>
      <c r="E102" s="8">
        <f>+VLOOKUP(C:C,CtrlPozo!$B:$O,12,0)</f>
        <v>22.09</v>
      </c>
      <c r="F102" s="11">
        <f t="shared" si="10"/>
        <v>23.49</v>
      </c>
      <c r="G102" s="11">
        <f>IFERROR(VLOOKUP(C:C,CtrlPozo!$B:$O,10,0),"")</f>
        <v>3272.73</v>
      </c>
      <c r="H102" s="9" t="s">
        <v>131</v>
      </c>
      <c r="I102" s="9">
        <f>VLOOKUP(H:H,LP!$A:$C,3,0)</f>
        <v>4.8099999999999996</v>
      </c>
      <c r="J102" s="10" t="s">
        <v>12</v>
      </c>
      <c r="K102" s="10" t="s">
        <v>35</v>
      </c>
      <c r="L102" s="34"/>
      <c r="M102" s="34" t="s">
        <v>172</v>
      </c>
      <c r="N102" s="34">
        <f>HLOOKUP(VLOOKUP(J102,BCConc!$B:$D,3,0),$D$1:$G$259,ROW(B102),0)</f>
        <v>22.09</v>
      </c>
      <c r="O102" s="34">
        <f t="shared" si="15"/>
        <v>1.7672000000000001</v>
      </c>
      <c r="P102" s="34">
        <v>80</v>
      </c>
      <c r="Q102" s="34"/>
      <c r="R102" s="58">
        <f t="shared" si="11"/>
        <v>53.899600000000007</v>
      </c>
      <c r="S102" s="58">
        <f t="shared" si="12"/>
        <v>259.25707599999998</v>
      </c>
      <c r="T102" s="58" t="str">
        <f>VLOOKUP(J102,BCConc!$B:$E,4,0)</f>
        <v>IC</v>
      </c>
      <c r="U102" s="58" t="str">
        <f t="shared" si="13"/>
        <v>NLA</v>
      </c>
      <c r="V102" s="58" t="str">
        <f>VLOOKUP(U102,BCConc!$L$1:$M$36,2,0)</f>
        <v>Pozo</v>
      </c>
    </row>
    <row r="103" spans="1:22" ht="15" customHeight="1">
      <c r="A103" s="20" t="s">
        <v>159</v>
      </c>
      <c r="B103" s="21" t="s">
        <v>864</v>
      </c>
      <c r="C103" s="18" t="str">
        <f>B103</f>
        <v>NLA-17</v>
      </c>
      <c r="D103" s="8">
        <f>+VLOOKUP(C:C,CtrlPozo!$B:$O,13,0)</f>
        <v>9.35</v>
      </c>
      <c r="E103" s="8">
        <f>+VLOOKUP(C:C,CtrlPozo!$B:$O,12,0)</f>
        <v>61.51</v>
      </c>
      <c r="F103" s="11">
        <f t="shared" si="10"/>
        <v>70.86</v>
      </c>
      <c r="G103" s="11">
        <f>IFERROR(VLOOKUP(C:C,CtrlPozo!$B:$O,10,0),"")</f>
        <v>1500</v>
      </c>
      <c r="H103" s="9" t="s">
        <v>131</v>
      </c>
      <c r="I103" s="9">
        <f>VLOOKUP(H:H,LP!$A:$C,3,0)</f>
        <v>4.8099999999999996</v>
      </c>
      <c r="J103" s="10" t="s">
        <v>12</v>
      </c>
      <c r="K103" s="10" t="s">
        <v>35</v>
      </c>
      <c r="L103" s="34"/>
      <c r="M103" s="34" t="s">
        <v>172</v>
      </c>
      <c r="N103" s="34">
        <f>HLOOKUP(VLOOKUP(J103,BCConc!$B:$D,3,0),$D$1:$G$259,ROW(B103),0)</f>
        <v>61.51</v>
      </c>
      <c r="O103" s="34">
        <f t="shared" si="15"/>
        <v>2.4603999999999999</v>
      </c>
      <c r="P103" s="34">
        <v>40</v>
      </c>
      <c r="Q103" s="34"/>
      <c r="R103" s="58">
        <f t="shared" si="11"/>
        <v>75.042199999999994</v>
      </c>
      <c r="S103" s="58">
        <f t="shared" si="12"/>
        <v>360.95298199999996</v>
      </c>
      <c r="T103" s="58" t="str">
        <f>VLOOKUP(J103,BCConc!$B:$E,4,0)</f>
        <v>IC</v>
      </c>
      <c r="U103" s="58" t="str">
        <f t="shared" si="13"/>
        <v>NLA</v>
      </c>
      <c r="V103" s="58" t="str">
        <f>VLOOKUP(U103,BCConc!$L$1:$M$36,2,0)</f>
        <v>Pozo</v>
      </c>
    </row>
    <row r="104" spans="1:22" ht="15" customHeight="1">
      <c r="A104" s="20" t="s">
        <v>159</v>
      </c>
      <c r="B104" s="21" t="s">
        <v>1110</v>
      </c>
      <c r="C104" s="18" t="str">
        <f>B104</f>
        <v>LA.a-21(d)</v>
      </c>
      <c r="D104" s="8">
        <f>+VLOOKUP(C:C,CtrlPozo!$B:$O,13,0)</f>
        <v>5.03</v>
      </c>
      <c r="E104" s="8">
        <f>+VLOOKUP(C:C,CtrlPozo!$B:$O,12,0)</f>
        <v>10.43</v>
      </c>
      <c r="F104" s="11">
        <f t="shared" si="10"/>
        <v>15.46</v>
      </c>
      <c r="G104" s="11">
        <f>IFERROR(VLOOKUP(C:C,CtrlPozo!$B:$O,10,0),"")</f>
        <v>130</v>
      </c>
      <c r="H104" s="9" t="s">
        <v>96</v>
      </c>
      <c r="I104" s="9">
        <f>VLOOKUP(H:H,LP!$A:$C,3,0)</f>
        <v>4.25</v>
      </c>
      <c r="J104" s="10" t="s">
        <v>103</v>
      </c>
      <c r="K104" s="10" t="s">
        <v>35</v>
      </c>
      <c r="L104" s="34"/>
      <c r="M104" s="34" t="s">
        <v>172</v>
      </c>
      <c r="N104" s="34">
        <f>HLOOKUP(VLOOKUP(J104,BCConc!$B:$D,3,0),$D$1:$G$259,ROW(B104),0)</f>
        <v>15.46</v>
      </c>
      <c r="O104" s="34">
        <f t="shared" si="15"/>
        <v>3.8650000000000002</v>
      </c>
      <c r="P104" s="34">
        <v>250</v>
      </c>
      <c r="Q104" s="34"/>
      <c r="R104" s="58">
        <f t="shared" si="11"/>
        <v>117.88250000000001</v>
      </c>
      <c r="S104" s="58">
        <f t="shared" si="12"/>
        <v>501.00062500000001</v>
      </c>
      <c r="T104" s="58" t="str">
        <f>VLOOKUP(J104,BCConc!$B:$E,4,0)</f>
        <v>RF</v>
      </c>
      <c r="U104" s="58" t="str">
        <f t="shared" si="13"/>
        <v>LA.</v>
      </c>
      <c r="V104" s="58" t="str">
        <f>VLOOKUP(U104,BCConc!$L$1:$M$36,2,0)</f>
        <v>Pozo</v>
      </c>
    </row>
    <row r="105" spans="1:22" ht="15" customHeight="1">
      <c r="A105" s="20" t="s">
        <v>159</v>
      </c>
      <c r="B105" s="21" t="s">
        <v>1127</v>
      </c>
      <c r="C105" s="18" t="str">
        <f>B105</f>
        <v>LA.a-25(d)</v>
      </c>
      <c r="D105" s="8">
        <f>+VLOOKUP(C:C,CtrlPozo!$B:$O,13,0)</f>
        <v>6.3</v>
      </c>
      <c r="E105" s="8">
        <f>+VLOOKUP(C:C,CtrlPozo!$B:$O,12,0)</f>
        <v>6.83</v>
      </c>
      <c r="F105" s="11">
        <f t="shared" si="10"/>
        <v>13.129999999999999</v>
      </c>
      <c r="G105" s="11">
        <f>IFERROR(VLOOKUP(C:C,CtrlPozo!$B:$O,10,0),"")</f>
        <v>300</v>
      </c>
      <c r="H105" s="9" t="s">
        <v>96</v>
      </c>
      <c r="I105" s="9">
        <f>VLOOKUP(H:H,LP!$A:$C,3,0)</f>
        <v>4.25</v>
      </c>
      <c r="J105" s="10" t="s">
        <v>103</v>
      </c>
      <c r="K105" s="10" t="s">
        <v>35</v>
      </c>
      <c r="L105" s="34"/>
      <c r="M105" s="34" t="s">
        <v>172</v>
      </c>
      <c r="N105" s="34">
        <f>HLOOKUP(VLOOKUP(J105,BCConc!$B:$D,3,0),$D$1:$G$259,ROW(B105),0)</f>
        <v>13.129999999999999</v>
      </c>
      <c r="O105" s="34">
        <f t="shared" si="15"/>
        <v>3.2824999999999998</v>
      </c>
      <c r="P105" s="34">
        <v>250</v>
      </c>
      <c r="Q105" s="34"/>
      <c r="R105" s="58">
        <f t="shared" si="11"/>
        <v>100.11624999999999</v>
      </c>
      <c r="S105" s="58">
        <f t="shared" si="12"/>
        <v>425.49406249999998</v>
      </c>
      <c r="T105" s="58" t="str">
        <f>VLOOKUP(J105,BCConc!$B:$E,4,0)</f>
        <v>RF</v>
      </c>
      <c r="U105" s="58" t="str">
        <f t="shared" si="13"/>
        <v>LA.</v>
      </c>
      <c r="V105" s="58" t="str">
        <f>VLOOKUP(U105,BCConc!$L$1:$M$36,2,0)</f>
        <v>Pozo</v>
      </c>
    </row>
    <row r="106" spans="1:22" ht="15" customHeight="1">
      <c r="A106" s="22" t="s">
        <v>160</v>
      </c>
      <c r="B106" s="21" t="s">
        <v>61</v>
      </c>
      <c r="C106" s="8"/>
      <c r="D106" s="11">
        <v>224</v>
      </c>
      <c r="E106" s="11">
        <v>3387</v>
      </c>
      <c r="F106" s="11">
        <f t="shared" si="10"/>
        <v>3611</v>
      </c>
      <c r="G106" s="11" t="str">
        <f>IFERROR(VLOOKUP(C:C,CtrlPozo!$B:$O,10,0),"")</f>
        <v/>
      </c>
      <c r="H106" s="9" t="s">
        <v>133</v>
      </c>
      <c r="I106" s="9">
        <f>VLOOKUP(H:H,LP!$A:$C,3,0)</f>
        <v>4</v>
      </c>
      <c r="J106" s="10" t="s">
        <v>13</v>
      </c>
      <c r="K106" s="10" t="s">
        <v>7</v>
      </c>
      <c r="L106" s="34"/>
      <c r="M106" s="34" t="s">
        <v>172</v>
      </c>
      <c r="N106" s="34">
        <f>HLOOKUP(VLOOKUP(J106,BCConc!$B:$D,3,0),$D$1:$G$259,ROW(B106),0)</f>
        <v>224</v>
      </c>
      <c r="O106" s="34">
        <f t="shared" si="15"/>
        <v>11.2</v>
      </c>
      <c r="P106" s="34">
        <v>50</v>
      </c>
      <c r="Q106" s="34"/>
      <c r="R106" s="58">
        <f t="shared" si="11"/>
        <v>341.59999999999997</v>
      </c>
      <c r="S106" s="58">
        <f t="shared" si="12"/>
        <v>1366.3999999999999</v>
      </c>
      <c r="T106" s="58" t="str">
        <f>VLOOKUP(J106,BCConc!$B:$E,4,0)</f>
        <v>DB</v>
      </c>
      <c r="U106" s="58" t="str">
        <f t="shared" si="13"/>
        <v>COL</v>
      </c>
      <c r="V106" s="58" t="str">
        <f>VLOOKUP(U106,BCConc!$L$1:$M$36,2,0)</f>
        <v>Colector</v>
      </c>
    </row>
    <row r="107" spans="1:22" ht="15" customHeight="1">
      <c r="A107" s="22" t="s">
        <v>160</v>
      </c>
      <c r="B107" s="21" t="s">
        <v>61</v>
      </c>
      <c r="C107" s="11"/>
      <c r="D107" s="11">
        <v>224</v>
      </c>
      <c r="E107" s="11">
        <v>3387</v>
      </c>
      <c r="F107" s="11">
        <f t="shared" si="10"/>
        <v>3611</v>
      </c>
      <c r="G107" s="11" t="str">
        <f>IFERROR(VLOOKUP(C:C,CtrlPozo!$B:$O,10,0),"")</f>
        <v/>
      </c>
      <c r="H107" s="9" t="s">
        <v>16</v>
      </c>
      <c r="I107" s="9">
        <f>VLOOKUP(H:H,LP!$A:$C,3,0)</f>
        <v>2.5</v>
      </c>
      <c r="J107" s="10" t="s">
        <v>17</v>
      </c>
      <c r="K107" s="10" t="s">
        <v>7</v>
      </c>
      <c r="L107" s="34"/>
      <c r="M107" s="34" t="s">
        <v>172</v>
      </c>
      <c r="N107" s="34">
        <f>HLOOKUP(VLOOKUP(J107,BCConc!$B:$D,3,0),$D$1:$G$259,ROW(B107),0)</f>
        <v>3611</v>
      </c>
      <c r="O107" s="34">
        <f t="shared" si="15"/>
        <v>72.22</v>
      </c>
      <c r="P107" s="34">
        <v>20</v>
      </c>
      <c r="Q107" s="34"/>
      <c r="R107" s="58">
        <f t="shared" si="11"/>
        <v>2202.71</v>
      </c>
      <c r="S107" s="58">
        <f t="shared" si="12"/>
        <v>5506.7749999999996</v>
      </c>
      <c r="T107" s="58" t="str">
        <f>VLOOKUP(J107,BCConc!$B:$E,4,0)</f>
        <v>AB</v>
      </c>
      <c r="U107" s="58" t="str">
        <f t="shared" si="13"/>
        <v>COL</v>
      </c>
      <c r="V107" s="58" t="str">
        <f>VLOOKUP(U107,BCConc!$L$1:$M$36,2,0)</f>
        <v>Colector</v>
      </c>
    </row>
    <row r="108" spans="1:22" ht="15" customHeight="1">
      <c r="A108" s="22" t="s">
        <v>160</v>
      </c>
      <c r="B108" s="21" t="s">
        <v>67</v>
      </c>
      <c r="C108" s="11"/>
      <c r="D108" s="11">
        <v>224</v>
      </c>
      <c r="E108" s="11">
        <v>3387</v>
      </c>
      <c r="F108" s="11">
        <f t="shared" si="10"/>
        <v>3611</v>
      </c>
      <c r="G108" s="11" t="str">
        <f>IFERROR(VLOOKUP(C:C,CtrlPozo!$B:$O,10,0),"")</f>
        <v/>
      </c>
      <c r="H108" s="9" t="s">
        <v>133</v>
      </c>
      <c r="I108" s="9">
        <f>VLOOKUP(H:H,LP!$A:$C,3,0)</f>
        <v>4</v>
      </c>
      <c r="J108" s="10" t="s">
        <v>13</v>
      </c>
      <c r="K108" s="10" t="s">
        <v>120</v>
      </c>
      <c r="L108" s="34"/>
      <c r="M108" s="34" t="s">
        <v>172</v>
      </c>
      <c r="N108" s="34">
        <f>HLOOKUP(VLOOKUP(J108,BCConc!$B:$D,3,0),$D$1:$G$259,ROW(B108),0)</f>
        <v>224</v>
      </c>
      <c r="O108" s="34">
        <f t="shared" si="15"/>
        <v>22.4</v>
      </c>
      <c r="P108" s="34">
        <v>100</v>
      </c>
      <c r="Q108" s="34"/>
      <c r="R108" s="58">
        <f t="shared" si="11"/>
        <v>683.19999999999993</v>
      </c>
      <c r="S108" s="58">
        <f t="shared" si="12"/>
        <v>2732.7999999999997</v>
      </c>
      <c r="T108" s="58" t="str">
        <f>VLOOKUP(J108,BCConc!$B:$E,4,0)</f>
        <v>DB</v>
      </c>
      <c r="U108" s="58" t="str">
        <f t="shared" si="13"/>
        <v>FW</v>
      </c>
      <c r="V108" s="58" t="str">
        <f>VLOOKUP(U108,BCConc!$L$1:$M$36,2,0)</f>
        <v>Planta</v>
      </c>
    </row>
    <row r="109" spans="1:22" ht="15" customHeight="1">
      <c r="A109" s="22" t="s">
        <v>160</v>
      </c>
      <c r="B109" s="21" t="s">
        <v>68</v>
      </c>
      <c r="C109" s="11"/>
      <c r="D109" s="11">
        <f>0.33*224</f>
        <v>73.92</v>
      </c>
      <c r="E109" s="11">
        <f>0.33*3387</f>
        <v>1117.71</v>
      </c>
      <c r="F109" s="11">
        <f t="shared" si="10"/>
        <v>1191.6300000000001</v>
      </c>
      <c r="G109" s="11" t="str">
        <f>IFERROR(VLOOKUP(C:C,CtrlPozo!$B:$O,10,0),"")</f>
        <v/>
      </c>
      <c r="H109" s="9" t="s">
        <v>133</v>
      </c>
      <c r="I109" s="9">
        <f>VLOOKUP(H:H,LP!$A:$C,3,0)</f>
        <v>4</v>
      </c>
      <c r="J109" s="12" t="s">
        <v>13</v>
      </c>
      <c r="K109" s="10" t="s">
        <v>7</v>
      </c>
      <c r="L109" s="34"/>
      <c r="M109" s="34" t="s">
        <v>172</v>
      </c>
      <c r="N109" s="34">
        <f>HLOOKUP(VLOOKUP(J109,BCConc!$B:$D,3,0),$D$1:$G$259,ROW(B109),0)</f>
        <v>73.92</v>
      </c>
      <c r="O109" s="34">
        <f t="shared" si="15"/>
        <v>3.6960000000000002</v>
      </c>
      <c r="P109" s="34">
        <v>50</v>
      </c>
      <c r="Q109" s="34"/>
      <c r="R109" s="58">
        <f t="shared" si="11"/>
        <v>112.72800000000001</v>
      </c>
      <c r="S109" s="58">
        <f t="shared" si="12"/>
        <v>450.91200000000003</v>
      </c>
      <c r="T109" s="58" t="str">
        <f>VLOOKUP(J109,BCConc!$B:$E,4,0)</f>
        <v>DB</v>
      </c>
      <c r="U109" s="58" t="str">
        <f t="shared" si="13"/>
        <v>COL</v>
      </c>
      <c r="V109" s="58" t="str">
        <f>VLOOKUP(U109,BCConc!$L$1:$M$36,2,0)</f>
        <v>Colector</v>
      </c>
    </row>
    <row r="110" spans="1:22" ht="15" customHeight="1">
      <c r="A110" s="22" t="s">
        <v>160</v>
      </c>
      <c r="B110" s="21" t="s">
        <v>68</v>
      </c>
      <c r="C110" s="11"/>
      <c r="D110" s="11">
        <f>0.33*224</f>
        <v>73.92</v>
      </c>
      <c r="E110" s="11">
        <f>0.33*3387</f>
        <v>1117.71</v>
      </c>
      <c r="F110" s="11">
        <f t="shared" si="10"/>
        <v>1191.6300000000001</v>
      </c>
      <c r="G110" s="11" t="str">
        <f>IFERROR(VLOOKUP(C:C,CtrlPozo!$B:$O,10,0),"")</f>
        <v/>
      </c>
      <c r="H110" s="9" t="s">
        <v>133</v>
      </c>
      <c r="I110" s="9">
        <f>VLOOKUP(H:H,LP!$A:$C,3,0)</f>
        <v>4</v>
      </c>
      <c r="J110" s="12" t="s">
        <v>13</v>
      </c>
      <c r="K110" s="10" t="s">
        <v>117</v>
      </c>
      <c r="L110" s="34"/>
      <c r="M110" s="34" t="s">
        <v>172</v>
      </c>
      <c r="N110" s="34">
        <f>HLOOKUP(VLOOKUP(J110,BCConc!$B:$D,3,0),$D$1:$G$259,ROW(B110),0)</f>
        <v>73.92</v>
      </c>
      <c r="O110" s="34">
        <f t="shared" si="15"/>
        <v>3.6960000000000002</v>
      </c>
      <c r="P110" s="34">
        <v>50</v>
      </c>
      <c r="Q110" s="34"/>
      <c r="R110" s="58">
        <f t="shared" si="11"/>
        <v>112.72800000000001</v>
      </c>
      <c r="S110" s="58">
        <f t="shared" si="12"/>
        <v>450.91200000000003</v>
      </c>
      <c r="T110" s="58" t="str">
        <f>VLOOKUP(J110,BCConc!$B:$E,4,0)</f>
        <v>DB</v>
      </c>
      <c r="U110" s="58" t="str">
        <f t="shared" si="13"/>
        <v>COL</v>
      </c>
      <c r="V110" s="58" t="str">
        <f>VLOOKUP(U110,BCConc!$L$1:$M$36,2,0)</f>
        <v>Colector</v>
      </c>
    </row>
    <row r="111" spans="1:22" ht="15" customHeight="1">
      <c r="A111" s="22" t="s">
        <v>160</v>
      </c>
      <c r="B111" s="21" t="s">
        <v>68</v>
      </c>
      <c r="C111" s="8"/>
      <c r="D111" s="11">
        <f>0.33*224</f>
        <v>73.92</v>
      </c>
      <c r="E111" s="11">
        <f>0.33*3387</f>
        <v>1117.71</v>
      </c>
      <c r="F111" s="11">
        <f t="shared" si="10"/>
        <v>1191.6300000000001</v>
      </c>
      <c r="G111" s="11" t="str">
        <f>IFERROR(VLOOKUP(C:C,CtrlPozo!$B:$O,10,0),"")</f>
        <v/>
      </c>
      <c r="H111" s="9" t="s">
        <v>16</v>
      </c>
      <c r="I111" s="9">
        <f>VLOOKUP(H:H,LP!$A:$C,3,0)</f>
        <v>2.5</v>
      </c>
      <c r="J111" s="10" t="s">
        <v>17</v>
      </c>
      <c r="K111" s="10" t="s">
        <v>7</v>
      </c>
      <c r="L111" s="34"/>
      <c r="M111" s="34" t="s">
        <v>172</v>
      </c>
      <c r="N111" s="34">
        <f>HLOOKUP(VLOOKUP(J111,BCConc!$B:$D,3,0),$D$1:$G$259,ROW(B111),0)</f>
        <v>1191.6300000000001</v>
      </c>
      <c r="O111" s="34">
        <f t="shared" si="15"/>
        <v>23.832600000000003</v>
      </c>
      <c r="P111" s="34">
        <v>20</v>
      </c>
      <c r="Q111" s="34"/>
      <c r="R111" s="58">
        <f t="shared" si="11"/>
        <v>726.89430000000004</v>
      </c>
      <c r="S111" s="58">
        <f t="shared" si="12"/>
        <v>1817.2357500000001</v>
      </c>
      <c r="T111" s="58" t="str">
        <f>VLOOKUP(J111,BCConc!$B:$E,4,0)</f>
        <v>AB</v>
      </c>
      <c r="U111" s="58" t="str">
        <f t="shared" si="13"/>
        <v>COL</v>
      </c>
      <c r="V111" s="58" t="str">
        <f>VLOOKUP(U111,BCConc!$L$1:$M$36,2,0)</f>
        <v>Colector</v>
      </c>
    </row>
    <row r="112" spans="1:22" ht="15" customHeight="1">
      <c r="A112" s="22" t="s">
        <v>160</v>
      </c>
      <c r="B112" s="21" t="s">
        <v>69</v>
      </c>
      <c r="C112" s="8"/>
      <c r="D112" s="11">
        <f>0.33*224</f>
        <v>73.92</v>
      </c>
      <c r="E112" s="11">
        <f>0.33*3387</f>
        <v>1117.71</v>
      </c>
      <c r="F112" s="11">
        <f t="shared" si="10"/>
        <v>1191.6300000000001</v>
      </c>
      <c r="G112" s="11" t="str">
        <f>IFERROR(VLOOKUP(C:C,CtrlPozo!$B:$O,10,0),"")</f>
        <v/>
      </c>
      <c r="H112" s="9" t="s">
        <v>133</v>
      </c>
      <c r="I112" s="9">
        <f>VLOOKUP(H:H,LP!$A:$C,3,0)</f>
        <v>4</v>
      </c>
      <c r="J112" s="10" t="s">
        <v>13</v>
      </c>
      <c r="K112" s="10" t="s">
        <v>7</v>
      </c>
      <c r="L112" s="34"/>
      <c r="M112" s="34" t="s">
        <v>172</v>
      </c>
      <c r="N112" s="34">
        <f>HLOOKUP(VLOOKUP(J112,BCConc!$B:$D,3,0),$D$1:$G$259,ROW(B112),0)</f>
        <v>73.92</v>
      </c>
      <c r="O112" s="34">
        <f t="shared" si="15"/>
        <v>3.6960000000000002</v>
      </c>
      <c r="P112" s="34">
        <v>50</v>
      </c>
      <c r="Q112" s="34"/>
      <c r="R112" s="58">
        <f t="shared" si="11"/>
        <v>112.72800000000001</v>
      </c>
      <c r="S112" s="58">
        <f t="shared" si="12"/>
        <v>450.91200000000003</v>
      </c>
      <c r="T112" s="58" t="str">
        <f>VLOOKUP(J112,BCConc!$B:$E,4,0)</f>
        <v>DB</v>
      </c>
      <c r="U112" s="58" t="str">
        <f t="shared" si="13"/>
        <v>COL</v>
      </c>
      <c r="V112" s="58" t="str">
        <f>VLOOKUP(U112,BCConc!$L$1:$M$36,2,0)</f>
        <v>Colector</v>
      </c>
    </row>
    <row r="113" spans="1:22" ht="15" customHeight="1">
      <c r="A113" s="22" t="s">
        <v>160</v>
      </c>
      <c r="B113" s="21" t="s">
        <v>70</v>
      </c>
      <c r="C113" s="11"/>
      <c r="D113" s="11">
        <f>0.33*224</f>
        <v>73.92</v>
      </c>
      <c r="E113" s="11">
        <f>0.33*3387</f>
        <v>1117.71</v>
      </c>
      <c r="F113" s="11">
        <f t="shared" si="10"/>
        <v>1191.6300000000001</v>
      </c>
      <c r="G113" s="11" t="str">
        <f>IFERROR(VLOOKUP(C:C,CtrlPozo!$B:$O,10,0),"")</f>
        <v/>
      </c>
      <c r="H113" s="9" t="s">
        <v>133</v>
      </c>
      <c r="I113" s="9">
        <f>VLOOKUP(H:H,LP!$A:$C,3,0)</f>
        <v>4</v>
      </c>
      <c r="J113" s="10" t="s">
        <v>13</v>
      </c>
      <c r="K113" s="10" t="s">
        <v>7</v>
      </c>
      <c r="L113" s="34"/>
      <c r="M113" s="34" t="s">
        <v>172</v>
      </c>
      <c r="N113" s="34">
        <f>HLOOKUP(VLOOKUP(J113,BCConc!$B:$D,3,0),$D$1:$G$259,ROW(B113),0)</f>
        <v>73.92</v>
      </c>
      <c r="O113" s="34">
        <f t="shared" si="15"/>
        <v>3.6960000000000002</v>
      </c>
      <c r="P113" s="34">
        <v>50</v>
      </c>
      <c r="Q113" s="34"/>
      <c r="R113" s="58">
        <f t="shared" si="11"/>
        <v>112.72800000000001</v>
      </c>
      <c r="S113" s="58">
        <f t="shared" si="12"/>
        <v>450.91200000000003</v>
      </c>
      <c r="T113" s="58" t="str">
        <f>VLOOKUP(J113,BCConc!$B:$E,4,0)</f>
        <v>DB</v>
      </c>
      <c r="U113" s="58" t="str">
        <f t="shared" si="13"/>
        <v>COL</v>
      </c>
      <c r="V113" s="58" t="str">
        <f>VLOOKUP(U113,BCConc!$L$1:$M$36,2,0)</f>
        <v>Colector</v>
      </c>
    </row>
    <row r="114" spans="1:22" ht="15" customHeight="1">
      <c r="A114" s="22" t="s">
        <v>160</v>
      </c>
      <c r="B114" s="21" t="s">
        <v>118</v>
      </c>
      <c r="C114" s="11"/>
      <c r="D114" s="11">
        <v>224</v>
      </c>
      <c r="E114" s="11">
        <v>3387</v>
      </c>
      <c r="F114" s="11">
        <f t="shared" si="10"/>
        <v>3611</v>
      </c>
      <c r="G114" s="11" t="str">
        <f>IFERROR(VLOOKUP(C:C,CtrlPozo!$B:$O,10,0),"")</f>
        <v/>
      </c>
      <c r="H114" s="9" t="s">
        <v>133</v>
      </c>
      <c r="I114" s="9">
        <f>VLOOKUP(H:H,LP!$A:$C,3,0)</f>
        <v>4</v>
      </c>
      <c r="J114" s="10" t="s">
        <v>13</v>
      </c>
      <c r="K114" s="10" t="s">
        <v>7</v>
      </c>
      <c r="L114" s="34"/>
      <c r="M114" s="34" t="s">
        <v>172</v>
      </c>
      <c r="N114" s="34">
        <f>HLOOKUP(VLOOKUP(J114,BCConc!$B:$D,3,0),$D$1:$G$259,ROW(B114),0)</f>
        <v>224</v>
      </c>
      <c r="O114" s="34">
        <f t="shared" si="15"/>
        <v>11.2</v>
      </c>
      <c r="P114" s="34">
        <v>50</v>
      </c>
      <c r="Q114" s="34"/>
      <c r="R114" s="58">
        <f t="shared" si="11"/>
        <v>341.59999999999997</v>
      </c>
      <c r="S114" s="58">
        <f t="shared" si="12"/>
        <v>1366.3999999999999</v>
      </c>
      <c r="T114" s="58" t="str">
        <f>VLOOKUP(J114,BCConc!$B:$E,4,0)</f>
        <v>DB</v>
      </c>
      <c r="U114" s="58" t="str">
        <f t="shared" si="13"/>
        <v>ING</v>
      </c>
      <c r="V114" s="58" t="str">
        <f>VLOOKUP(U114,BCConc!$L$1:$M$36,2,0)</f>
        <v>Planta</v>
      </c>
    </row>
    <row r="115" spans="1:22" ht="15" customHeight="1">
      <c r="A115" s="22" t="s">
        <v>160</v>
      </c>
      <c r="B115" s="21" t="s">
        <v>119</v>
      </c>
      <c r="C115" s="11"/>
      <c r="D115" s="11">
        <v>224</v>
      </c>
      <c r="E115" s="11">
        <v>3387</v>
      </c>
      <c r="F115" s="11">
        <f t="shared" si="10"/>
        <v>3611</v>
      </c>
      <c r="G115" s="11" t="str">
        <f>IFERROR(VLOOKUP(C:C,CtrlPozo!$B:$O,10,0),"")</f>
        <v/>
      </c>
      <c r="H115" s="9" t="s">
        <v>133</v>
      </c>
      <c r="I115" s="9">
        <f>VLOOKUP(H:H,LP!$A:$C,3,0)</f>
        <v>4</v>
      </c>
      <c r="J115" s="10" t="s">
        <v>13</v>
      </c>
      <c r="K115" s="10" t="s">
        <v>120</v>
      </c>
      <c r="L115" s="34"/>
      <c r="M115" s="34" t="s">
        <v>172</v>
      </c>
      <c r="N115" s="34">
        <f>HLOOKUP(VLOOKUP(J115,BCConc!$B:$D,3,0),$D$1:$G$259,ROW(B115),0)</f>
        <v>224</v>
      </c>
      <c r="O115" s="34">
        <f t="shared" si="15"/>
        <v>22.4</v>
      </c>
      <c r="P115" s="34">
        <v>100</v>
      </c>
      <c r="Q115" s="34"/>
      <c r="R115" s="58">
        <f t="shared" si="11"/>
        <v>683.19999999999993</v>
      </c>
      <c r="S115" s="58">
        <f t="shared" si="12"/>
        <v>2732.7999999999997</v>
      </c>
      <c r="T115" s="58" t="str">
        <f>VLOOKUP(J115,BCConc!$B:$E,4,0)</f>
        <v>DB</v>
      </c>
      <c r="U115" s="58" t="str">
        <f t="shared" si="13"/>
        <v>SAL</v>
      </c>
      <c r="V115" s="58" t="str">
        <f>VLOOKUP(U115,BCConc!$L$1:$M$36,2,0)</f>
        <v>Planta</v>
      </c>
    </row>
    <row r="116" spans="1:22" ht="15" customHeight="1">
      <c r="A116" s="22" t="s">
        <v>160</v>
      </c>
      <c r="B116" s="21" t="s">
        <v>118</v>
      </c>
      <c r="C116" s="11"/>
      <c r="D116" s="11">
        <v>224</v>
      </c>
      <c r="E116" s="11">
        <v>3387</v>
      </c>
      <c r="F116" s="11">
        <f t="shared" si="10"/>
        <v>3611</v>
      </c>
      <c r="G116" s="11" t="str">
        <f>IFERROR(VLOOKUP(C:C,CtrlPozo!$B:$O,10,0),"")</f>
        <v/>
      </c>
      <c r="H116" s="9" t="s">
        <v>127</v>
      </c>
      <c r="I116" s="9">
        <f>VLOOKUP(H:H,LP!$A:$C,3,0)</f>
        <v>3.9</v>
      </c>
      <c r="J116" s="10" t="s">
        <v>111</v>
      </c>
      <c r="K116" s="10" t="s">
        <v>121</v>
      </c>
      <c r="L116" s="34"/>
      <c r="M116" s="34" t="s">
        <v>172</v>
      </c>
      <c r="N116" s="34">
        <f>HLOOKUP(VLOOKUP(J116,BCConc!$B:$D,3,0),$D$1:$G$259,ROW(B116),0)</f>
        <v>3387</v>
      </c>
      <c r="O116" s="34">
        <f t="shared" si="15"/>
        <v>50.805</v>
      </c>
      <c r="P116" s="34">
        <v>15</v>
      </c>
      <c r="Q116" s="34"/>
      <c r="R116" s="58">
        <f t="shared" si="11"/>
        <v>1549.5525</v>
      </c>
      <c r="S116" s="58">
        <f t="shared" si="12"/>
        <v>6043.2547500000001</v>
      </c>
      <c r="T116" s="58" t="str">
        <f>VLOOKUP(J116,BCConc!$B:$E,4,0)</f>
        <v>FB</v>
      </c>
      <c r="U116" s="58" t="str">
        <f t="shared" si="13"/>
        <v>ING</v>
      </c>
      <c r="V116" s="58" t="str">
        <f>VLOOKUP(U116,BCConc!$L$1:$M$36,2,0)</f>
        <v>Planta</v>
      </c>
    </row>
    <row r="117" spans="1:22" ht="15" customHeight="1">
      <c r="A117" s="22" t="s">
        <v>160</v>
      </c>
      <c r="B117" s="21" t="s">
        <v>119</v>
      </c>
      <c r="C117" s="11"/>
      <c r="D117" s="11">
        <v>224</v>
      </c>
      <c r="E117" s="11">
        <v>3387</v>
      </c>
      <c r="F117" s="11">
        <f t="shared" si="10"/>
        <v>3611</v>
      </c>
      <c r="G117" s="11" t="str">
        <f>IFERROR(VLOOKUP(C:C,CtrlPozo!$B:$O,10,0),"")</f>
        <v/>
      </c>
      <c r="H117" s="12" t="s">
        <v>130</v>
      </c>
      <c r="I117" s="9">
        <f>VLOOKUP(H:H,LP!$A:$C,3,0)</f>
        <v>6.04</v>
      </c>
      <c r="J117" s="10" t="s">
        <v>78</v>
      </c>
      <c r="K117" s="10" t="s">
        <v>120</v>
      </c>
      <c r="L117" s="34"/>
      <c r="M117" s="34" t="s">
        <v>172</v>
      </c>
      <c r="N117" s="34">
        <f>HLOOKUP(VLOOKUP(J117,BCConc!$B:$D,3,0),$D$1:$G$259,ROW(B117),0)</f>
        <v>3387</v>
      </c>
      <c r="O117" s="34">
        <f t="shared" si="15"/>
        <v>8.4674999999999994</v>
      </c>
      <c r="P117" s="34">
        <v>2.5</v>
      </c>
      <c r="Q117" s="34"/>
      <c r="R117" s="58">
        <f t="shared" si="11"/>
        <v>258.25874999999996</v>
      </c>
      <c r="S117" s="58">
        <f t="shared" si="12"/>
        <v>1559.8828499999997</v>
      </c>
      <c r="T117" s="58" t="str">
        <f>VLOOKUP(J117,BCConc!$B:$E,4,0)</f>
        <v>FB</v>
      </c>
      <c r="U117" s="58" t="str">
        <f t="shared" si="13"/>
        <v>SAL</v>
      </c>
      <c r="V117" s="58" t="str">
        <f>VLOOKUP(U117,BCConc!$L$1:$M$36,2,0)</f>
        <v>Planta</v>
      </c>
    </row>
    <row r="118" spans="1:22" ht="15" customHeight="1">
      <c r="A118" s="22" t="s">
        <v>160</v>
      </c>
      <c r="B118" s="21" t="s">
        <v>128</v>
      </c>
      <c r="C118" s="11"/>
      <c r="D118" s="11">
        <v>224</v>
      </c>
      <c r="E118" s="11">
        <v>3387</v>
      </c>
      <c r="F118" s="11">
        <f t="shared" si="10"/>
        <v>3611</v>
      </c>
      <c r="G118" s="11" t="str">
        <f>IFERROR(VLOOKUP(C:C,CtrlPozo!$B:$O,10,0),"")</f>
        <v/>
      </c>
      <c r="H118" s="12" t="s">
        <v>130</v>
      </c>
      <c r="I118" s="9">
        <f>VLOOKUP(H:H,LP!$A:$C,3,0)</f>
        <v>6.04</v>
      </c>
      <c r="J118" s="10" t="s">
        <v>78</v>
      </c>
      <c r="K118" s="10" t="s">
        <v>135</v>
      </c>
      <c r="L118" s="34"/>
      <c r="M118" s="34" t="s">
        <v>172</v>
      </c>
      <c r="N118" s="34">
        <f>HLOOKUP(VLOOKUP(J118,BCConc!$B:$D,3,0),$D$1:$G$259,ROW(B118),0)</f>
        <v>3387</v>
      </c>
      <c r="O118" s="34">
        <f t="shared" si="15"/>
        <v>8.4674999999999994</v>
      </c>
      <c r="P118" s="34">
        <v>2.5</v>
      </c>
      <c r="Q118" s="34"/>
      <c r="R118" s="58">
        <f t="shared" si="11"/>
        <v>258.25874999999996</v>
      </c>
      <c r="S118" s="58">
        <f t="shared" si="12"/>
        <v>1559.8828499999997</v>
      </c>
      <c r="T118" s="58" t="str">
        <f>VLOOKUP(J118,BCConc!$B:$E,4,0)</f>
        <v>FB</v>
      </c>
      <c r="U118" s="58" t="str">
        <f t="shared" si="13"/>
        <v>ING</v>
      </c>
      <c r="V118" s="58" t="str">
        <f>VLOOKUP(U118,BCConc!$L$1:$M$36,2,0)</f>
        <v>Planta</v>
      </c>
    </row>
    <row r="119" spans="1:22" ht="15" customHeight="1">
      <c r="A119" s="23" t="s">
        <v>157</v>
      </c>
      <c r="B119" s="21" t="s">
        <v>71</v>
      </c>
      <c r="C119" s="8"/>
      <c r="D119" s="8">
        <v>1200</v>
      </c>
      <c r="E119" s="8">
        <v>0</v>
      </c>
      <c r="F119" s="11">
        <f t="shared" si="10"/>
        <v>1200</v>
      </c>
      <c r="G119" s="11" t="str">
        <f>IFERROR(VLOOKUP(C:C,CtrlPozo!$B:$O,10,0),"")</f>
        <v/>
      </c>
      <c r="H119" s="9" t="s">
        <v>134</v>
      </c>
      <c r="I119" s="9">
        <f>VLOOKUP(H:H,LP!$A:$C,3,0)</f>
        <v>5.07</v>
      </c>
      <c r="J119" s="10" t="s">
        <v>13</v>
      </c>
      <c r="K119" s="10" t="s">
        <v>26</v>
      </c>
      <c r="L119" s="34"/>
      <c r="M119" s="34" t="s">
        <v>172</v>
      </c>
      <c r="N119" s="34">
        <f>HLOOKUP(VLOOKUP(J119,BCConc!$B:$D,3,0),$D$1:$G$259,ROW(B119),0)</f>
        <v>1200</v>
      </c>
      <c r="O119" s="34">
        <f t="shared" si="15"/>
        <v>240</v>
      </c>
      <c r="P119" s="34">
        <v>200</v>
      </c>
      <c r="Q119" s="34"/>
      <c r="R119" s="58">
        <f t="shared" si="11"/>
        <v>7320</v>
      </c>
      <c r="S119" s="58">
        <f t="shared" si="12"/>
        <v>37112.400000000001</v>
      </c>
      <c r="T119" s="58" t="str">
        <f>VLOOKUP(J119,BCConc!$B:$E,4,0)</f>
        <v>DB</v>
      </c>
      <c r="U119" s="58" t="str">
        <f t="shared" si="13"/>
        <v xml:space="preserve">TK </v>
      </c>
      <c r="V119" s="58" t="str">
        <f>VLOOKUP(U119,BCConc!$L$1:$M$36,2,0)</f>
        <v>Planta</v>
      </c>
    </row>
    <row r="120" spans="1:22" ht="15" customHeight="1">
      <c r="A120" s="23" t="s">
        <v>157</v>
      </c>
      <c r="B120" s="21" t="s">
        <v>71</v>
      </c>
      <c r="C120" s="8"/>
      <c r="D120" s="8">
        <v>1200</v>
      </c>
      <c r="E120" s="8">
        <v>0</v>
      </c>
      <c r="F120" s="11">
        <f t="shared" si="10"/>
        <v>1200</v>
      </c>
      <c r="G120" s="11" t="str">
        <f>IFERROR(VLOOKUP(C:C,CtrlPozo!$B:$O,10,0),"")</f>
        <v/>
      </c>
      <c r="H120" s="9" t="s">
        <v>132</v>
      </c>
      <c r="I120" s="9">
        <f>VLOOKUP(H:H,LP!$A:$C,3,0)</f>
        <v>5.47</v>
      </c>
      <c r="J120" s="10" t="s">
        <v>14</v>
      </c>
      <c r="K120" s="10" t="s">
        <v>26</v>
      </c>
      <c r="L120" s="34"/>
      <c r="M120" s="34" t="s">
        <v>172</v>
      </c>
      <c r="N120" s="34">
        <f>HLOOKUP(VLOOKUP(J120,BCConc!$B:$D,3,0),$D$1:$G$259,ROW(B120),0)</f>
        <v>1200</v>
      </c>
      <c r="O120" s="34">
        <f t="shared" si="15"/>
        <v>60</v>
      </c>
      <c r="P120" s="34">
        <v>50</v>
      </c>
      <c r="Q120" s="34"/>
      <c r="R120" s="58">
        <f t="shared" si="11"/>
        <v>1830</v>
      </c>
      <c r="S120" s="58">
        <f t="shared" si="12"/>
        <v>10010.1</v>
      </c>
      <c r="T120" s="58" t="str">
        <f>VLOOKUP(J120,BCConc!$B:$E,4,0)</f>
        <v>IP</v>
      </c>
      <c r="U120" s="58" t="str">
        <f t="shared" si="13"/>
        <v xml:space="preserve">TK </v>
      </c>
      <c r="V120" s="58" t="str">
        <f>VLOOKUP(U120,BCConc!$L$1:$M$36,2,0)</f>
        <v>Planta</v>
      </c>
    </row>
    <row r="121" spans="1:22" ht="15" customHeight="1">
      <c r="A121" s="23" t="s">
        <v>157</v>
      </c>
      <c r="B121" s="21" t="s">
        <v>72</v>
      </c>
      <c r="C121" s="8"/>
      <c r="D121" s="8">
        <v>600</v>
      </c>
      <c r="E121" s="8">
        <v>0</v>
      </c>
      <c r="F121" s="11">
        <f t="shared" si="10"/>
        <v>600</v>
      </c>
      <c r="G121" s="11" t="str">
        <f>IFERROR(VLOOKUP(C:C,CtrlPozo!$B:$O,10,0),"")</f>
        <v/>
      </c>
      <c r="H121" s="9" t="s">
        <v>100</v>
      </c>
      <c r="I121" s="9">
        <f>VLOOKUP(H:H,LP!$A:$C,3,0)</f>
        <v>3.16</v>
      </c>
      <c r="J121" s="10" t="s">
        <v>13</v>
      </c>
      <c r="K121" s="10" t="s">
        <v>73</v>
      </c>
      <c r="L121" s="34"/>
      <c r="M121" s="34" t="s">
        <v>172</v>
      </c>
      <c r="N121" s="34">
        <f>HLOOKUP(VLOOKUP(J121,BCConc!$B:$D,3,0),$D$1:$G$259,ROW(B121),0)</f>
        <v>600</v>
      </c>
      <c r="O121" s="73">
        <f t="shared" si="15"/>
        <v>30</v>
      </c>
      <c r="P121" s="34">
        <v>50</v>
      </c>
      <c r="Q121" s="34"/>
      <c r="R121" s="58">
        <f t="shared" si="11"/>
        <v>915</v>
      </c>
      <c r="S121" s="58">
        <f t="shared" si="12"/>
        <v>2891.4</v>
      </c>
      <c r="T121" s="58" t="str">
        <f>VLOOKUP(J121,BCConc!$B:$E,4,0)</f>
        <v>DB</v>
      </c>
      <c r="U121" s="58" t="str">
        <f t="shared" si="13"/>
        <v>PTC</v>
      </c>
      <c r="V121" s="58" t="str">
        <f>VLOOKUP(U121,BCConc!$L$1:$M$36,2,0)</f>
        <v>Planta</v>
      </c>
    </row>
    <row r="122" spans="1:22" ht="15" customHeight="1">
      <c r="A122" s="23" t="s">
        <v>157</v>
      </c>
      <c r="B122" s="21" t="s">
        <v>74</v>
      </c>
      <c r="C122" s="8"/>
      <c r="D122" s="8">
        <v>1200</v>
      </c>
      <c r="E122" s="8">
        <v>13800</v>
      </c>
      <c r="F122" s="11">
        <f t="shared" si="10"/>
        <v>15000</v>
      </c>
      <c r="G122" s="11" t="str">
        <f>IFERROR(VLOOKUP(C:C,CtrlPozo!$B:$O,10,0),"")</f>
        <v/>
      </c>
      <c r="H122" s="9" t="s">
        <v>100</v>
      </c>
      <c r="I122" s="9">
        <f>VLOOKUP(H:H,LP!$A:$C,3,0)</f>
        <v>3.16</v>
      </c>
      <c r="J122" s="10" t="s">
        <v>13</v>
      </c>
      <c r="K122" s="10" t="s">
        <v>75</v>
      </c>
      <c r="L122" s="34"/>
      <c r="M122" s="34" t="s">
        <v>172</v>
      </c>
      <c r="N122" s="34">
        <f>HLOOKUP(VLOOKUP(J122,BCConc!$B:$D,3,0),$D$1:$G$259,ROW(B122),0)</f>
        <v>1200</v>
      </c>
      <c r="O122" s="73">
        <f>P122*N122/1000</f>
        <v>120</v>
      </c>
      <c r="P122" s="34">
        <v>100</v>
      </c>
      <c r="Q122" s="34"/>
      <c r="R122" s="58">
        <f t="shared" si="11"/>
        <v>3660</v>
      </c>
      <c r="S122" s="58">
        <f t="shared" si="12"/>
        <v>11565.6</v>
      </c>
      <c r="T122" s="58" t="str">
        <f>VLOOKUP(J122,BCConc!$B:$E,4,0)</f>
        <v>DB</v>
      </c>
      <c r="U122" s="58" t="str">
        <f t="shared" si="13"/>
        <v>PTC</v>
      </c>
      <c r="V122" s="58" t="str">
        <f>VLOOKUP(U122,BCConc!$L$1:$M$36,2,0)</f>
        <v>Planta</v>
      </c>
    </row>
    <row r="123" spans="1:22" ht="15" customHeight="1">
      <c r="A123" s="23" t="s">
        <v>157</v>
      </c>
      <c r="B123" s="21" t="s">
        <v>76</v>
      </c>
      <c r="C123" s="8"/>
      <c r="D123" s="8">
        <v>0</v>
      </c>
      <c r="E123" s="8">
        <v>13800</v>
      </c>
      <c r="F123" s="11">
        <f t="shared" si="10"/>
        <v>13800</v>
      </c>
      <c r="G123" s="11" t="str">
        <f>IFERROR(VLOOKUP(C:C,CtrlPozo!$B:$O,10,0),"")</f>
        <v/>
      </c>
      <c r="H123" s="9" t="s">
        <v>77</v>
      </c>
      <c r="I123" s="9">
        <f>VLOOKUP(H:H,LP!$A:$C,3,0)</f>
        <v>6</v>
      </c>
      <c r="J123" s="10" t="s">
        <v>78</v>
      </c>
      <c r="K123" s="10" t="s">
        <v>79</v>
      </c>
      <c r="L123" s="34"/>
      <c r="M123" s="34" t="s">
        <v>172</v>
      </c>
      <c r="N123" s="34">
        <f>HLOOKUP(VLOOKUP(J123,BCConc!$B:$D,3,0),$D$1:$G$259,ROW(B123),0)</f>
        <v>13800</v>
      </c>
      <c r="O123" s="34">
        <f t="shared" si="15"/>
        <v>27.6</v>
      </c>
      <c r="P123" s="34">
        <v>2</v>
      </c>
      <c r="Q123" s="34"/>
      <c r="R123" s="58">
        <f t="shared" si="11"/>
        <v>841.80000000000007</v>
      </c>
      <c r="S123" s="58">
        <f t="shared" si="12"/>
        <v>5050.8</v>
      </c>
      <c r="T123" s="58" t="str">
        <f>VLOOKUP(J123,BCConc!$B:$E,4,0)</f>
        <v>FB</v>
      </c>
      <c r="U123" s="58" t="str">
        <f t="shared" si="13"/>
        <v>PTC</v>
      </c>
      <c r="V123" s="58" t="str">
        <f>VLOOKUP(U123,BCConc!$L$1:$M$36,2,0)</f>
        <v>Planta</v>
      </c>
    </row>
    <row r="124" spans="1:22" ht="15" customHeight="1">
      <c r="A124" s="23" t="s">
        <v>157</v>
      </c>
      <c r="B124" s="21" t="s">
        <v>105</v>
      </c>
      <c r="C124" s="8"/>
      <c r="D124" s="8">
        <v>1200</v>
      </c>
      <c r="E124" s="8">
        <v>13800</v>
      </c>
      <c r="F124" s="11">
        <f t="shared" si="10"/>
        <v>15000</v>
      </c>
      <c r="G124" s="11" t="str">
        <f>IFERROR(VLOOKUP(C:C,CtrlPozo!$B:$O,10,0),"")</f>
        <v/>
      </c>
      <c r="H124" s="9" t="s">
        <v>131</v>
      </c>
      <c r="I124" s="9">
        <f>VLOOKUP(H:H,LP!$A:$C,3,0)</f>
        <v>4.8099999999999996</v>
      </c>
      <c r="J124" s="10" t="s">
        <v>12</v>
      </c>
      <c r="K124" s="10" t="s">
        <v>106</v>
      </c>
      <c r="L124" s="34"/>
      <c r="M124" s="34" t="s">
        <v>172</v>
      </c>
      <c r="N124" s="34">
        <f>HLOOKUP(VLOOKUP(J124,BCConc!$B:$D,3,0),$D$1:$G$259,ROW(B124),0)</f>
        <v>13800</v>
      </c>
      <c r="O124" s="34">
        <f t="shared" si="15"/>
        <v>138</v>
      </c>
      <c r="P124" s="34">
        <v>10</v>
      </c>
      <c r="Q124" s="34"/>
      <c r="R124" s="58">
        <f t="shared" si="11"/>
        <v>4209</v>
      </c>
      <c r="S124" s="58">
        <f t="shared" si="12"/>
        <v>20245.289999999997</v>
      </c>
      <c r="T124" s="58" t="str">
        <f>VLOOKUP(J124,BCConc!$B:$E,4,0)</f>
        <v>IC</v>
      </c>
      <c r="U124" s="58" t="str">
        <f t="shared" si="13"/>
        <v>PTC</v>
      </c>
      <c r="V124" s="58" t="str">
        <f>VLOOKUP(U124,BCConc!$L$1:$M$36,2,0)</f>
        <v>Planta</v>
      </c>
    </row>
    <row r="125" spans="1:22" ht="15" customHeight="1">
      <c r="A125" s="23" t="s">
        <v>157</v>
      </c>
      <c r="B125" s="21" t="s">
        <v>190</v>
      </c>
      <c r="C125" s="8" t="str">
        <f>B125</f>
        <v>NCD-0003</v>
      </c>
      <c r="D125" s="8">
        <f>+VLOOKUP(C:C,CtrlPozo!$B:$O,13,0)</f>
        <v>3.76</v>
      </c>
      <c r="E125" s="8">
        <f>+VLOOKUP(C:C,CtrlPozo!$B:$O,12,0)</f>
        <v>6.43</v>
      </c>
      <c r="F125" s="11">
        <f t="shared" si="10"/>
        <v>10.19</v>
      </c>
      <c r="G125" s="11">
        <f>IFERROR(VLOOKUP(C:C,CtrlPozo!$B:$O,10,0),"")</f>
        <v>7</v>
      </c>
      <c r="H125" s="9" t="s">
        <v>96</v>
      </c>
      <c r="I125" s="9">
        <f>VLOOKUP(H:H,LP!$A:$C,3,0)</f>
        <v>4.25</v>
      </c>
      <c r="J125" s="10" t="s">
        <v>103</v>
      </c>
      <c r="K125" s="10" t="s">
        <v>35</v>
      </c>
      <c r="L125" s="34"/>
      <c r="M125" s="34" t="s">
        <v>172</v>
      </c>
      <c r="N125" s="34">
        <f>HLOOKUP(VLOOKUP(J125,BCConc!$B:$D,3,0),$D$1:$G$259,ROW(B125),0)</f>
        <v>10.19</v>
      </c>
      <c r="O125" s="34">
        <f t="shared" si="15"/>
        <v>2.5474999999999999</v>
      </c>
      <c r="P125" s="34">
        <v>250</v>
      </c>
      <c r="Q125" s="34"/>
      <c r="R125" s="58">
        <f t="shared" si="11"/>
        <v>77.69874999999999</v>
      </c>
      <c r="S125" s="58">
        <f t="shared" si="12"/>
        <v>330.21968749999996</v>
      </c>
      <c r="T125" s="58" t="str">
        <f>VLOOKUP(J125,BCConc!$B:$E,4,0)</f>
        <v>RF</v>
      </c>
      <c r="U125" s="58" t="str">
        <f t="shared" si="13"/>
        <v>NCD</v>
      </c>
      <c r="V125" s="58" t="str">
        <f>VLOOKUP(U125,BCConc!$L$1:$M$36,2,0)</f>
        <v>Pozo</v>
      </c>
    </row>
    <row r="126" spans="1:22" ht="15" customHeight="1">
      <c r="A126" s="23" t="s">
        <v>157</v>
      </c>
      <c r="B126" s="21" t="s">
        <v>190</v>
      </c>
      <c r="C126" s="8" t="str">
        <f t="shared" ref="C126:C131" si="18">B126</f>
        <v>NCD-0003</v>
      </c>
      <c r="D126" s="8">
        <f>+VLOOKUP(C:C,CtrlPozo!$B:$O,13,0)</f>
        <v>3.76</v>
      </c>
      <c r="E126" s="8">
        <f>+VLOOKUP(C:C,CtrlPozo!$B:$O,12,0)</f>
        <v>6.43</v>
      </c>
      <c r="F126" s="11">
        <f t="shared" si="10"/>
        <v>10.19</v>
      </c>
      <c r="G126" s="11">
        <f>IFERROR(VLOOKUP(C:C,CtrlPozo!$B:$O,10,0),"")</f>
        <v>7</v>
      </c>
      <c r="H126" s="9" t="s">
        <v>102</v>
      </c>
      <c r="I126" s="9">
        <f>VLOOKUP(H:H,LP!$A:$C,3,0)</f>
        <v>1.88</v>
      </c>
      <c r="J126" s="10" t="s">
        <v>80</v>
      </c>
      <c r="K126" s="10" t="s">
        <v>36</v>
      </c>
      <c r="L126" s="34"/>
      <c r="M126" s="34" t="s">
        <v>172</v>
      </c>
      <c r="N126" s="34">
        <f>HLOOKUP(VLOOKUP(J126,BCConc!$B:$D,3,0),$D$1:$G$259,ROW(B126),0)</f>
        <v>7</v>
      </c>
      <c r="O126" s="34">
        <f>+P126*N126/1000</f>
        <v>1.4</v>
      </c>
      <c r="P126" s="34">
        <v>200</v>
      </c>
      <c r="Q126" s="34"/>
      <c r="R126" s="58">
        <f t="shared" si="11"/>
        <v>42.699999999999996</v>
      </c>
      <c r="S126" s="58">
        <f t="shared" si="12"/>
        <v>80.275999999999982</v>
      </c>
      <c r="T126" s="58" t="str">
        <f>VLOOKUP(J126,BCConc!$B:$E,4,0)</f>
        <v>BS</v>
      </c>
      <c r="U126" s="58" t="str">
        <f t="shared" si="13"/>
        <v>NCD</v>
      </c>
      <c r="V126" s="58" t="str">
        <f>VLOOKUP(U126,BCConc!$L$1:$M$36,2,0)</f>
        <v>Pozo</v>
      </c>
    </row>
    <row r="127" spans="1:22" ht="15" customHeight="1">
      <c r="A127" s="23" t="s">
        <v>157</v>
      </c>
      <c r="B127" s="21" t="s">
        <v>582</v>
      </c>
      <c r="C127" s="8" t="str">
        <f t="shared" si="18"/>
        <v>NCD-0005</v>
      </c>
      <c r="D127" s="8">
        <f>+VLOOKUP(C:C,CtrlPozo!$B:$O,13,0)</f>
        <v>2.27</v>
      </c>
      <c r="E127" s="8">
        <f>+VLOOKUP(C:C,CtrlPozo!$B:$O,12,0)</f>
        <v>16.72</v>
      </c>
      <c r="F127" s="11">
        <f t="shared" si="10"/>
        <v>18.989999999999998</v>
      </c>
      <c r="G127" s="11">
        <f>IFERROR(VLOOKUP(C:C,CtrlPozo!$B:$O,10,0),"")</f>
        <v>6</v>
      </c>
      <c r="H127" s="9" t="s">
        <v>101</v>
      </c>
      <c r="I127" s="9">
        <f>VLOOKUP(H:H,LP!$A:$C,3,0)</f>
        <v>4</v>
      </c>
      <c r="J127" s="10" t="s">
        <v>103</v>
      </c>
      <c r="K127" s="10" t="s">
        <v>35</v>
      </c>
      <c r="L127" s="34"/>
      <c r="M127" s="34" t="s">
        <v>172</v>
      </c>
      <c r="N127" s="34">
        <f>HLOOKUP(VLOOKUP(J127,BCConc!$B:$D,3,0),$D$1:$G$259,ROW(B127),0)</f>
        <v>18.989999999999998</v>
      </c>
      <c r="O127" s="34">
        <f>P127*N127/1000</f>
        <v>4.7474999999999996</v>
      </c>
      <c r="P127" s="34">
        <v>250</v>
      </c>
      <c r="Q127" s="34"/>
      <c r="R127" s="58">
        <f t="shared" si="11"/>
        <v>144.79874999999998</v>
      </c>
      <c r="S127" s="58">
        <f t="shared" si="12"/>
        <v>579.19499999999994</v>
      </c>
      <c r="T127" s="58" t="str">
        <f>VLOOKUP(J127,BCConc!$B:$E,4,0)</f>
        <v>RF</v>
      </c>
      <c r="U127" s="58" t="str">
        <f t="shared" si="13"/>
        <v>NCD</v>
      </c>
      <c r="V127" s="58" t="str">
        <f>VLOOKUP(U127,BCConc!$L$1:$M$36,2,0)</f>
        <v>Pozo</v>
      </c>
    </row>
    <row r="128" spans="1:22" ht="15" customHeight="1">
      <c r="A128" s="23" t="s">
        <v>157</v>
      </c>
      <c r="B128" s="21" t="s">
        <v>582</v>
      </c>
      <c r="C128" s="8" t="str">
        <f t="shared" si="18"/>
        <v>NCD-0005</v>
      </c>
      <c r="D128" s="8">
        <f>+VLOOKUP(C:C,CtrlPozo!$B:$O,13,0)</f>
        <v>2.27</v>
      </c>
      <c r="E128" s="8">
        <f>+VLOOKUP(C:C,CtrlPozo!$B:$O,12,0)</f>
        <v>16.72</v>
      </c>
      <c r="F128" s="11">
        <f t="shared" si="10"/>
        <v>18.989999999999998</v>
      </c>
      <c r="G128" s="11">
        <f>IFERROR(VLOOKUP(C:C,CtrlPozo!$B:$O,10,0),"")</f>
        <v>6</v>
      </c>
      <c r="H128" s="9" t="s">
        <v>102</v>
      </c>
      <c r="I128" s="9">
        <f>VLOOKUP(H:H,LP!$A:$C,3,0)</f>
        <v>1.88</v>
      </c>
      <c r="J128" s="10" t="s">
        <v>80</v>
      </c>
      <c r="K128" s="10" t="s">
        <v>36</v>
      </c>
      <c r="L128" s="34"/>
      <c r="M128" s="34" t="s">
        <v>172</v>
      </c>
      <c r="N128" s="34">
        <f>HLOOKUP(VLOOKUP(J128,BCConc!$B:$D,3,0),$D$1:$G$259,ROW(B128),0)</f>
        <v>6</v>
      </c>
      <c r="O128" s="34">
        <f>+P128*N128/1000</f>
        <v>1.2</v>
      </c>
      <c r="P128" s="34">
        <v>200</v>
      </c>
      <c r="Q128" s="34"/>
      <c r="R128" s="58">
        <f t="shared" si="11"/>
        <v>36.6</v>
      </c>
      <c r="S128" s="58">
        <f t="shared" si="12"/>
        <v>68.807999999999993</v>
      </c>
      <c r="T128" s="58" t="str">
        <f>VLOOKUP(J128,BCConc!$B:$E,4,0)</f>
        <v>BS</v>
      </c>
      <c r="U128" s="58" t="str">
        <f t="shared" si="13"/>
        <v>NCD</v>
      </c>
      <c r="V128" s="58" t="str">
        <f>VLOOKUP(U128,BCConc!$L$1:$M$36,2,0)</f>
        <v>Pozo</v>
      </c>
    </row>
    <row r="129" spans="1:22" ht="15" customHeight="1">
      <c r="A129" s="23" t="s">
        <v>157</v>
      </c>
      <c r="B129" s="21" t="s">
        <v>563</v>
      </c>
      <c r="C129" s="8" t="str">
        <f t="shared" si="18"/>
        <v>NCD-16</v>
      </c>
      <c r="D129" s="8">
        <f>+VLOOKUP(C:C,CtrlPozo!$B:$O,13,0)</f>
        <v>6.16</v>
      </c>
      <c r="E129" s="8">
        <f>+VLOOKUP(C:C,CtrlPozo!$B:$O,12,0)</f>
        <v>5.71</v>
      </c>
      <c r="F129" s="11">
        <f t="shared" si="10"/>
        <v>11.870000000000001</v>
      </c>
      <c r="G129" s="11">
        <f>IFERROR(VLOOKUP(C:C,CtrlPozo!$B:$O,10,0),"")</f>
        <v>0</v>
      </c>
      <c r="H129" s="9" t="s">
        <v>102</v>
      </c>
      <c r="I129" s="9">
        <f>VLOOKUP(H:H,LP!$A:$C,3,0)</f>
        <v>1.88</v>
      </c>
      <c r="J129" s="10" t="s">
        <v>80</v>
      </c>
      <c r="K129" s="10" t="s">
        <v>35</v>
      </c>
      <c r="L129" s="34"/>
      <c r="M129" s="34" t="s">
        <v>172</v>
      </c>
      <c r="N129" s="34">
        <f>HLOOKUP(VLOOKUP(J129,BCConc!$B:$D,3,0),$D$1:$G$259,ROW(B129),0)</f>
        <v>0</v>
      </c>
      <c r="O129" s="34">
        <v>2</v>
      </c>
      <c r="P129" s="34">
        <v>200</v>
      </c>
      <c r="Q129" s="34"/>
      <c r="R129" s="58">
        <f t="shared" si="11"/>
        <v>61</v>
      </c>
      <c r="S129" s="58">
        <f t="shared" si="12"/>
        <v>114.67999999999999</v>
      </c>
      <c r="T129" s="58" t="str">
        <f>VLOOKUP(J129,BCConc!$B:$E,4,0)</f>
        <v>BS</v>
      </c>
      <c r="U129" s="58" t="str">
        <f t="shared" si="13"/>
        <v>NCD</v>
      </c>
      <c r="V129" s="58" t="str">
        <f>VLOOKUP(U129,BCConc!$L$1:$M$36,2,0)</f>
        <v>Pozo</v>
      </c>
    </row>
    <row r="130" spans="1:22" ht="15" customHeight="1">
      <c r="A130" s="23" t="s">
        <v>157</v>
      </c>
      <c r="B130" s="21" t="s">
        <v>692</v>
      </c>
      <c r="C130" s="8" t="str">
        <f t="shared" si="18"/>
        <v>NCD-18</v>
      </c>
      <c r="D130" s="8">
        <f>+VLOOKUP(C:C,CtrlPozo!$B:$O,13,0)</f>
        <v>0.97</v>
      </c>
      <c r="E130" s="8">
        <f>+VLOOKUP(C:C,CtrlPozo!$B:$O,12,0)</f>
        <v>2.93</v>
      </c>
      <c r="F130" s="11">
        <f t="shared" si="10"/>
        <v>3.9000000000000004</v>
      </c>
      <c r="G130" s="11">
        <f>IFERROR(VLOOKUP(C:C,CtrlPozo!$B:$O,10,0),"")</f>
        <v>0</v>
      </c>
      <c r="H130" s="9" t="s">
        <v>96</v>
      </c>
      <c r="I130" s="9">
        <f>VLOOKUP(H:H,LP!$A:$C,3,0)</f>
        <v>4.25</v>
      </c>
      <c r="J130" s="10" t="s">
        <v>103</v>
      </c>
      <c r="K130" s="10" t="s">
        <v>35</v>
      </c>
      <c r="L130" s="34"/>
      <c r="M130" s="34" t="s">
        <v>172</v>
      </c>
      <c r="N130" s="34">
        <f>HLOOKUP(VLOOKUP(J130,BCConc!$B:$D,3,0),$D$1:$G$259,ROW(B130),0)</f>
        <v>3.9000000000000004</v>
      </c>
      <c r="O130" s="34">
        <f t="shared" ref="O130:O145" si="19">P130*N130/1000</f>
        <v>1.9500000000000002</v>
      </c>
      <c r="P130" s="34">
        <v>500</v>
      </c>
      <c r="Q130" s="34"/>
      <c r="R130" s="58">
        <f t="shared" si="11"/>
        <v>59.475000000000009</v>
      </c>
      <c r="S130" s="58">
        <f t="shared" si="12"/>
        <v>252.76875000000004</v>
      </c>
      <c r="T130" s="58" t="str">
        <f>VLOOKUP(J130,BCConc!$B:$E,4,0)</f>
        <v>RF</v>
      </c>
      <c r="U130" s="58" t="str">
        <f t="shared" si="13"/>
        <v>NCD</v>
      </c>
      <c r="V130" s="58" t="str">
        <f>VLOOKUP(U130,BCConc!$L$1:$M$36,2,0)</f>
        <v>Pozo</v>
      </c>
    </row>
    <row r="131" spans="1:22" ht="15" customHeight="1">
      <c r="A131" s="23" t="s">
        <v>157</v>
      </c>
      <c r="B131" s="21" t="s">
        <v>884</v>
      </c>
      <c r="C131" s="8" t="str">
        <f t="shared" si="18"/>
        <v>NCD-20</v>
      </c>
      <c r="D131" s="8">
        <f>+VLOOKUP(C:C,CtrlPozo!$B:$O,13,0)</f>
        <v>3.15</v>
      </c>
      <c r="E131" s="8">
        <f>+VLOOKUP(C:C,CtrlPozo!$B:$O,12,0)</f>
        <v>0.74</v>
      </c>
      <c r="F131" s="11">
        <f t="shared" si="10"/>
        <v>3.8899999999999997</v>
      </c>
      <c r="G131" s="11">
        <f>IFERROR(VLOOKUP(C:C,CtrlPozo!$B:$O,10,0),"")</f>
        <v>5</v>
      </c>
      <c r="H131" s="9" t="s">
        <v>96</v>
      </c>
      <c r="I131" s="9">
        <f>VLOOKUP(H:H,LP!$A:$C,3,0)</f>
        <v>4.25</v>
      </c>
      <c r="J131" s="10" t="s">
        <v>103</v>
      </c>
      <c r="K131" s="10" t="s">
        <v>35</v>
      </c>
      <c r="L131" s="34"/>
      <c r="M131" s="34" t="s">
        <v>172</v>
      </c>
      <c r="N131" s="34">
        <f>HLOOKUP(VLOOKUP(J131,BCConc!$B:$D,3,0),$D$1:$G$259,ROW(B131),0)</f>
        <v>3.8899999999999997</v>
      </c>
      <c r="O131" s="34">
        <f t="shared" si="19"/>
        <v>1.9449999999999998</v>
      </c>
      <c r="P131" s="34">
        <v>500</v>
      </c>
      <c r="Q131" s="34"/>
      <c r="R131" s="58">
        <f t="shared" si="11"/>
        <v>59.322499999999998</v>
      </c>
      <c r="S131" s="58">
        <f t="shared" si="12"/>
        <v>252.12062499999999</v>
      </c>
      <c r="T131" s="58" t="str">
        <f>VLOOKUP(J131,BCConc!$B:$E,4,0)</f>
        <v>RF</v>
      </c>
      <c r="U131" s="58" t="str">
        <f t="shared" si="13"/>
        <v>NCD</v>
      </c>
      <c r="V131" s="58" t="str">
        <f>VLOOKUP(U131,BCConc!$L$1:$M$36,2,0)</f>
        <v>Pozo</v>
      </c>
    </row>
    <row r="132" spans="1:22" ht="15" customHeight="1">
      <c r="A132" s="24" t="s">
        <v>166</v>
      </c>
      <c r="B132" s="34" t="s">
        <v>755</v>
      </c>
      <c r="C132" s="8" t="str">
        <f t="shared" ref="C132:C137" si="20">B132</f>
        <v>NMDM.a-90</v>
      </c>
      <c r="D132" s="8">
        <f>+VLOOKUP(C:C,CtrlPozo!$B:$O,13,0)</f>
        <v>1.23</v>
      </c>
      <c r="E132" s="8">
        <f>+VLOOKUP(C:C,CtrlPozo!$B:$O,12,0)</f>
        <v>0.17</v>
      </c>
      <c r="F132" s="11">
        <f t="shared" ref="F132:F195" si="21">E132+D132</f>
        <v>1.4</v>
      </c>
      <c r="G132" s="11">
        <f>IFERROR(VLOOKUP(C:C,CtrlPozo!$B:$O,10,0),"")</f>
        <v>260</v>
      </c>
      <c r="H132" s="9" t="s">
        <v>132</v>
      </c>
      <c r="I132" s="9">
        <f>VLOOKUP(H:H,LP!$A:$C,3,0)</f>
        <v>5.47</v>
      </c>
      <c r="J132" s="10" t="s">
        <v>103</v>
      </c>
      <c r="K132" s="10" t="s">
        <v>36</v>
      </c>
      <c r="L132" s="34"/>
      <c r="M132" s="34" t="s">
        <v>172</v>
      </c>
      <c r="N132" s="34">
        <f>HLOOKUP(VLOOKUP(J132,BCConc!$B:$D,3,0),$D$1:$G$259,ROW(B132),0)</f>
        <v>1.4</v>
      </c>
      <c r="O132" s="34">
        <f t="shared" si="19"/>
        <v>1.4</v>
      </c>
      <c r="P132" s="34">
        <v>1000</v>
      </c>
      <c r="Q132" s="34"/>
      <c r="R132" s="58">
        <f t="shared" ref="R132:R195" si="22">IF(O132&gt;0,O132*30.5,IF(AND(M132="BATCH",L132="SEMANAL"),Q132*4,IF(AND(M132="BATCH",L132="Quincenal"),Q132*2,IF(AND(M132="ENCAPSULADO",L132="8M"),Q132/8,IF(AND(M132="ENCAPSULADO",L132="6M"),Q132/6,IF(AND(M132="ENCAPSULADO",L132="4M"),Q132/4,IF(AND(M132="ENCAPSULADO",L132="3M"),Q132/3,"")))))))</f>
        <v>42.699999999999996</v>
      </c>
      <c r="S132" s="58">
        <f t="shared" ref="S132:S195" si="23">R132*I132</f>
        <v>233.56899999999996</v>
      </c>
      <c r="T132" s="58" t="str">
        <f>VLOOKUP(J132,BCConc!$B:$E,4,0)</f>
        <v>RF</v>
      </c>
      <c r="U132" s="58" t="str">
        <f t="shared" ref="U132:U195" si="24">MID(B132,1,3)</f>
        <v>NMD</v>
      </c>
      <c r="V132" s="58" t="str">
        <f>VLOOKUP(U132,BCConc!$L$1:$M$36,2,0)</f>
        <v>Pozo</v>
      </c>
    </row>
    <row r="133" spans="1:22" ht="15" customHeight="1">
      <c r="A133" s="24" t="s">
        <v>166</v>
      </c>
      <c r="B133" s="34" t="s">
        <v>755</v>
      </c>
      <c r="C133" s="8" t="str">
        <f t="shared" si="20"/>
        <v>NMDM.a-90</v>
      </c>
      <c r="D133" s="8">
        <f>+VLOOKUP(C:C,CtrlPozo!$B:$O,13,0)</f>
        <v>1.23</v>
      </c>
      <c r="E133" s="8">
        <f>+VLOOKUP(C:C,CtrlPozo!$B:$O,12,0)</f>
        <v>0.17</v>
      </c>
      <c r="F133" s="11">
        <f t="shared" si="21"/>
        <v>1.4</v>
      </c>
      <c r="G133" s="11">
        <f>IFERROR(VLOOKUP(C:C,CtrlPozo!$B:$O,10,0),"")</f>
        <v>260</v>
      </c>
      <c r="H133" s="9" t="s">
        <v>96</v>
      </c>
      <c r="I133" s="9">
        <f>VLOOKUP(H:H,LP!$A:$C,3,0)</f>
        <v>4.25</v>
      </c>
      <c r="J133" s="10" t="s">
        <v>103</v>
      </c>
      <c r="K133" s="10" t="s">
        <v>35</v>
      </c>
      <c r="L133" s="34"/>
      <c r="M133" s="34" t="s">
        <v>172</v>
      </c>
      <c r="N133" s="34">
        <f>HLOOKUP(VLOOKUP(J133,BCConc!$B:$D,3,0),$D$1:$G$259,ROW(B133),0)</f>
        <v>1.4</v>
      </c>
      <c r="O133" s="34">
        <f t="shared" si="19"/>
        <v>1.4</v>
      </c>
      <c r="P133" s="34">
        <v>1000</v>
      </c>
      <c r="Q133" s="34"/>
      <c r="R133" s="58">
        <f t="shared" si="22"/>
        <v>42.699999999999996</v>
      </c>
      <c r="S133" s="58">
        <f t="shared" si="23"/>
        <v>181.47499999999999</v>
      </c>
      <c r="T133" s="58" t="str">
        <f>VLOOKUP(J133,BCConc!$B:$E,4,0)</f>
        <v>RF</v>
      </c>
      <c r="U133" s="58" t="str">
        <f t="shared" si="24"/>
        <v>NMD</v>
      </c>
      <c r="V133" s="58" t="str">
        <f>VLOOKUP(U133,BCConc!$L$1:$M$36,2,0)</f>
        <v>Pozo</v>
      </c>
    </row>
    <row r="134" spans="1:22" ht="15" customHeight="1">
      <c r="A134" s="24" t="s">
        <v>166</v>
      </c>
      <c r="B134" s="34" t="s">
        <v>686</v>
      </c>
      <c r="C134" s="8" t="str">
        <f t="shared" si="20"/>
        <v>NMDM-87(I)</v>
      </c>
      <c r="D134" s="8">
        <f>+VLOOKUP(C:C,CtrlPozo!$B:$O,13,0)</f>
        <v>1.28</v>
      </c>
      <c r="E134" s="8">
        <f>+VLOOKUP(C:C,CtrlPozo!$B:$O,12,0)</f>
        <v>0.32</v>
      </c>
      <c r="F134" s="11">
        <f t="shared" si="21"/>
        <v>1.6</v>
      </c>
      <c r="G134" s="11">
        <f>IFERROR(VLOOKUP(C:C,CtrlPozo!$B:$O,10,0),"")</f>
        <v>130</v>
      </c>
      <c r="H134" s="9" t="s">
        <v>132</v>
      </c>
      <c r="I134" s="9">
        <f>VLOOKUP(H:H,LP!$A:$C,3,0)</f>
        <v>5.47</v>
      </c>
      <c r="J134" s="10" t="s">
        <v>103</v>
      </c>
      <c r="K134" s="10" t="s">
        <v>36</v>
      </c>
      <c r="L134" s="34"/>
      <c r="M134" s="34" t="s">
        <v>172</v>
      </c>
      <c r="N134" s="34">
        <f>HLOOKUP(VLOOKUP(J134,BCConc!$B:$D,3,0),$D$1:$G$259,ROW(B134),0)</f>
        <v>1.6</v>
      </c>
      <c r="O134" s="34">
        <f t="shared" si="19"/>
        <v>1.6</v>
      </c>
      <c r="P134" s="34">
        <v>1000</v>
      </c>
      <c r="Q134" s="34"/>
      <c r="R134" s="58">
        <f t="shared" si="22"/>
        <v>48.800000000000004</v>
      </c>
      <c r="S134" s="58">
        <f t="shared" si="23"/>
        <v>266.93600000000004</v>
      </c>
      <c r="T134" s="58" t="str">
        <f>VLOOKUP(J134,BCConc!$B:$E,4,0)</f>
        <v>RF</v>
      </c>
      <c r="U134" s="58" t="str">
        <f t="shared" si="24"/>
        <v>NMD</v>
      </c>
      <c r="V134" s="58" t="str">
        <f>VLOOKUP(U134,BCConc!$L$1:$M$36,2,0)</f>
        <v>Pozo</v>
      </c>
    </row>
    <row r="135" spans="1:22" ht="15" customHeight="1">
      <c r="A135" s="24" t="s">
        <v>166</v>
      </c>
      <c r="B135" s="21" t="s">
        <v>559</v>
      </c>
      <c r="C135" s="8" t="str">
        <f t="shared" si="20"/>
        <v>NMDM-83</v>
      </c>
      <c r="D135" s="8">
        <f>+VLOOKUP(C:C,CtrlPozo!$B:$O,13,0)</f>
        <v>2.74</v>
      </c>
      <c r="E135" s="8">
        <f>+VLOOKUP(C:C,CtrlPozo!$B:$O,12,0)</f>
        <v>2.96</v>
      </c>
      <c r="F135" s="11">
        <f t="shared" si="21"/>
        <v>5.7</v>
      </c>
      <c r="G135" s="11">
        <f>IFERROR(VLOOKUP(C:C,CtrlPozo!$B:$O,10,0),"")</f>
        <v>110</v>
      </c>
      <c r="H135" s="9" t="s">
        <v>96</v>
      </c>
      <c r="I135" s="9">
        <f>VLOOKUP(H:H,LP!$A:$C,3,0)</f>
        <v>4.25</v>
      </c>
      <c r="J135" s="10" t="s">
        <v>103</v>
      </c>
      <c r="K135" s="10" t="s">
        <v>35</v>
      </c>
      <c r="L135" s="34"/>
      <c r="M135" s="34" t="s">
        <v>172</v>
      </c>
      <c r="N135" s="34">
        <f>HLOOKUP(VLOOKUP(J135,BCConc!$B:$D,3,0),$D$1:$G$259,ROW(B135),0)</f>
        <v>5.7</v>
      </c>
      <c r="O135" s="34">
        <f t="shared" si="19"/>
        <v>2.85</v>
      </c>
      <c r="P135" s="34">
        <v>500</v>
      </c>
      <c r="Q135" s="34"/>
      <c r="R135" s="58">
        <f t="shared" si="22"/>
        <v>86.924999999999997</v>
      </c>
      <c r="S135" s="58">
        <f t="shared" si="23"/>
        <v>369.43124999999998</v>
      </c>
      <c r="T135" s="58" t="str">
        <f>VLOOKUP(J135,BCConc!$B:$E,4,0)</f>
        <v>RF</v>
      </c>
      <c r="U135" s="58" t="str">
        <f t="shared" si="24"/>
        <v>NMD</v>
      </c>
      <c r="V135" s="58" t="str">
        <f>VLOOKUP(U135,BCConc!$L$1:$M$36,2,0)</f>
        <v>Pozo</v>
      </c>
    </row>
    <row r="136" spans="1:22" ht="15" customHeight="1">
      <c r="A136" s="24" t="s">
        <v>166</v>
      </c>
      <c r="B136" s="34" t="s">
        <v>1133</v>
      </c>
      <c r="C136" s="8" t="str">
        <f t="shared" si="20"/>
        <v>MDM.a-123</v>
      </c>
      <c r="D136" s="8">
        <f>+VLOOKUP(C:C,CtrlPozo!$B:$O,13,0)</f>
        <v>3.14</v>
      </c>
      <c r="E136" s="8">
        <f>+VLOOKUP(C:C,CtrlPozo!$B:$O,12,0)</f>
        <v>15.76</v>
      </c>
      <c r="F136" s="11">
        <f t="shared" si="21"/>
        <v>18.899999999999999</v>
      </c>
      <c r="G136" s="11">
        <f>IFERROR(VLOOKUP(C:C,CtrlPozo!$B:$O,10,0),"")</f>
        <v>160</v>
      </c>
      <c r="H136" s="9" t="s">
        <v>99</v>
      </c>
      <c r="I136" s="9">
        <f>VLOOKUP(H:H,LP!$A:$C,3,0)</f>
        <v>4.38</v>
      </c>
      <c r="J136" s="10" t="s">
        <v>46</v>
      </c>
      <c r="K136" s="10" t="s">
        <v>35</v>
      </c>
      <c r="L136" s="34"/>
      <c r="M136" s="34" t="s">
        <v>172</v>
      </c>
      <c r="N136" s="34">
        <f>HLOOKUP(VLOOKUP(J136,BCConc!$B:$D,3,0),$D$1:$G$259,ROW(B136),0)</f>
        <v>18.899999999999999</v>
      </c>
      <c r="O136" s="34">
        <f t="shared" si="19"/>
        <v>9.4499999999999993</v>
      </c>
      <c r="P136" s="34">
        <v>500</v>
      </c>
      <c r="Q136" s="34"/>
      <c r="R136" s="58">
        <f t="shared" si="22"/>
        <v>288.22499999999997</v>
      </c>
      <c r="S136" s="58">
        <f t="shared" si="23"/>
        <v>1262.4254999999998</v>
      </c>
      <c r="T136" s="58" t="str">
        <f>VLOOKUP(J136,BCConc!$B:$E,4,0)</f>
        <v>DP</v>
      </c>
      <c r="U136" s="58" t="str">
        <f t="shared" si="24"/>
        <v>MDM</v>
      </c>
      <c r="V136" s="58" t="str">
        <f>VLOOKUP(U136,BCConc!$L$1:$M$36,2,0)</f>
        <v>Pozo</v>
      </c>
    </row>
    <row r="137" spans="1:22" ht="15" customHeight="1">
      <c r="A137" s="24" t="s">
        <v>166</v>
      </c>
      <c r="B137" s="34" t="s">
        <v>1151</v>
      </c>
      <c r="C137" s="8" t="str">
        <f t="shared" si="20"/>
        <v>MDM.a-125</v>
      </c>
      <c r="D137" s="8">
        <f>+VLOOKUP(C:C,CtrlPozo!$B:$O,13,0)</f>
        <v>3.85</v>
      </c>
      <c r="E137" s="8">
        <f>+VLOOKUP(C:C,CtrlPozo!$B:$O,12,0)</f>
        <v>0.25</v>
      </c>
      <c r="F137" s="11">
        <f t="shared" si="21"/>
        <v>4.0999999999999996</v>
      </c>
      <c r="G137" s="11">
        <f>IFERROR(VLOOKUP(C:C,CtrlPozo!$B:$O,10,0),"")</f>
        <v>421</v>
      </c>
      <c r="H137" s="9" t="s">
        <v>99</v>
      </c>
      <c r="I137" s="9">
        <f>VLOOKUP(H:H,LP!$A:$C,3,0)</f>
        <v>4.38</v>
      </c>
      <c r="J137" s="10" t="s">
        <v>46</v>
      </c>
      <c r="K137" s="10" t="s">
        <v>35</v>
      </c>
      <c r="L137" s="34"/>
      <c r="M137" s="34" t="s">
        <v>172</v>
      </c>
      <c r="N137" s="34">
        <f>HLOOKUP(VLOOKUP(J137,BCConc!$B:$D,3,0),$D$1:$G$259,ROW(B137),0)</f>
        <v>4.0999999999999996</v>
      </c>
      <c r="O137" s="34">
        <f t="shared" si="19"/>
        <v>2.0499999999999998</v>
      </c>
      <c r="P137" s="34">
        <v>500</v>
      </c>
      <c r="Q137" s="34"/>
      <c r="R137" s="58">
        <f t="shared" si="22"/>
        <v>62.524999999999991</v>
      </c>
      <c r="S137" s="58">
        <f t="shared" si="23"/>
        <v>273.85949999999997</v>
      </c>
      <c r="T137" s="58" t="str">
        <f>VLOOKUP(J137,BCConc!$B:$E,4,0)</f>
        <v>DP</v>
      </c>
      <c r="U137" s="58" t="str">
        <f t="shared" si="24"/>
        <v>MDM</v>
      </c>
      <c r="V137" s="58" t="str">
        <f>VLOOKUP(U137,BCConc!$L$1:$M$36,2,0)</f>
        <v>Pozo</v>
      </c>
    </row>
    <row r="138" spans="1:22" ht="15" customHeight="1">
      <c r="A138" s="24" t="s">
        <v>167</v>
      </c>
      <c r="B138" s="34" t="s">
        <v>1167</v>
      </c>
      <c r="C138" s="8" t="str">
        <f t="shared" ref="C138" si="25">B138</f>
        <v>MdVO.x-1</v>
      </c>
      <c r="D138" s="8">
        <f>+VLOOKUP(C:C,CtrlPozo!$B:$O,13,0)</f>
        <v>2.78</v>
      </c>
      <c r="E138" s="8">
        <f>+VLOOKUP(C:C,CtrlPozo!$B:$O,12,0)</f>
        <v>15.52</v>
      </c>
      <c r="F138" s="11">
        <f t="shared" si="21"/>
        <v>18.3</v>
      </c>
      <c r="G138" s="11">
        <f>IFERROR(VLOOKUP(C:C,CtrlPozo!$B:$O,10,0),"")</f>
        <v>5200</v>
      </c>
      <c r="H138" s="9" t="s">
        <v>96</v>
      </c>
      <c r="I138" s="9">
        <f>VLOOKUP(H:H,LP!$A:$C,3,0)</f>
        <v>4.25</v>
      </c>
      <c r="J138" s="10" t="s">
        <v>103</v>
      </c>
      <c r="K138" s="10" t="s">
        <v>35</v>
      </c>
      <c r="L138" s="34"/>
      <c r="M138" s="34" t="s">
        <v>172</v>
      </c>
      <c r="N138" s="34">
        <f>HLOOKUP(VLOOKUP(J138,BCConc!$B:$D,3,0),$D$1:$G$259,ROW(B138),0)</f>
        <v>18.3</v>
      </c>
      <c r="O138" s="34">
        <f t="shared" si="19"/>
        <v>4.5750000000000002</v>
      </c>
      <c r="P138" s="34">
        <v>250</v>
      </c>
      <c r="Q138" s="34"/>
      <c r="R138" s="58">
        <f t="shared" si="22"/>
        <v>139.53749999999999</v>
      </c>
      <c r="S138" s="58">
        <f t="shared" si="23"/>
        <v>593.03437499999995</v>
      </c>
      <c r="T138" s="58" t="str">
        <f>VLOOKUP(J138,BCConc!$B:$E,4,0)</f>
        <v>RF</v>
      </c>
      <c r="U138" s="58" t="str">
        <f t="shared" si="24"/>
        <v>MdV</v>
      </c>
      <c r="V138" s="58" t="str">
        <f>VLOOKUP(U138,BCConc!$L$1:$M$36,2,0)</f>
        <v>Pozo</v>
      </c>
    </row>
    <row r="139" spans="1:22" ht="15" customHeight="1">
      <c r="A139" s="25" t="s">
        <v>163</v>
      </c>
      <c r="B139" s="21" t="s">
        <v>8</v>
      </c>
      <c r="C139" s="34" t="s">
        <v>680</v>
      </c>
      <c r="D139" s="8">
        <f>VLOOKUP(C:C,CtrlBat!$A:$D,3,0)</f>
        <v>27.46</v>
      </c>
      <c r="E139" s="8">
        <f>VLOOKUP(C:C,CtrlBat!$A:$D,4,0)</f>
        <v>1.08</v>
      </c>
      <c r="F139" s="11">
        <f t="shared" si="21"/>
        <v>28.54</v>
      </c>
      <c r="G139" s="11" t="str">
        <f>IFERROR(VLOOKUP(C:C,CtrlPozo!$B:$O,10,0),"")</f>
        <v/>
      </c>
      <c r="H139" s="9" t="s">
        <v>101</v>
      </c>
      <c r="I139" s="9">
        <f>VLOOKUP(H:H,LP!$A:$C,3,0)</f>
        <v>4</v>
      </c>
      <c r="J139" s="10" t="s">
        <v>13</v>
      </c>
      <c r="K139" s="10" t="s">
        <v>7</v>
      </c>
      <c r="L139" s="34"/>
      <c r="M139" s="34" t="s">
        <v>172</v>
      </c>
      <c r="N139" s="34">
        <f>HLOOKUP(VLOOKUP(J139,BCConc!$B:$D,3,0),$D$1:$G$259,ROW(B139),0)</f>
        <v>27.46</v>
      </c>
      <c r="O139" s="34">
        <f t="shared" si="19"/>
        <v>5.492</v>
      </c>
      <c r="P139" s="34">
        <v>200</v>
      </c>
      <c r="Q139" s="34"/>
      <c r="R139" s="58">
        <f t="shared" si="22"/>
        <v>167.506</v>
      </c>
      <c r="S139" s="58">
        <f t="shared" si="23"/>
        <v>670.024</v>
      </c>
      <c r="T139" s="58" t="str">
        <f>VLOOKUP(J139,BCConc!$B:$E,4,0)</f>
        <v>DB</v>
      </c>
      <c r="U139" s="58" t="str">
        <f t="shared" si="24"/>
        <v>BAT</v>
      </c>
      <c r="V139" s="58" t="str">
        <f>VLOOKUP(U139,BCConc!$L$1:$M$36,2,0)</f>
        <v>Bateria</v>
      </c>
    </row>
    <row r="140" spans="1:22" ht="15" customHeight="1">
      <c r="A140" s="25" t="s">
        <v>163</v>
      </c>
      <c r="B140" s="21" t="s">
        <v>8</v>
      </c>
      <c r="C140" s="34" t="s">
        <v>680</v>
      </c>
      <c r="D140" s="8">
        <f>VLOOKUP(C:C,CtrlBat!$A:$D,3,0)</f>
        <v>27.46</v>
      </c>
      <c r="E140" s="8">
        <f>VLOOKUP(C:C,CtrlBat!$A:$D,4,0)</f>
        <v>1.08</v>
      </c>
      <c r="F140" s="11">
        <f t="shared" si="21"/>
        <v>28.54</v>
      </c>
      <c r="G140" s="11" t="str">
        <f>IFERROR(VLOOKUP(C:C,CtrlPozo!$B:$O,10,0),"")</f>
        <v/>
      </c>
      <c r="H140" s="35" t="s">
        <v>16</v>
      </c>
      <c r="I140" s="9">
        <f>VLOOKUP(H:H,LP!$A:$C,3,0)</f>
        <v>2.5</v>
      </c>
      <c r="J140" s="10" t="s">
        <v>17</v>
      </c>
      <c r="K140" s="10" t="s">
        <v>7</v>
      </c>
      <c r="L140" s="34"/>
      <c r="M140" s="34" t="s">
        <v>172</v>
      </c>
      <c r="N140" s="34">
        <f>HLOOKUP(VLOOKUP(J140,BCConc!$B:$D,3,0),$D$1:$G$259,ROW(B140),0)</f>
        <v>28.54</v>
      </c>
      <c r="O140" s="34">
        <f t="shared" si="19"/>
        <v>0.57079999999999997</v>
      </c>
      <c r="P140" s="34">
        <v>20</v>
      </c>
      <c r="Q140" s="34"/>
      <c r="R140" s="58">
        <f t="shared" si="22"/>
        <v>17.409399999999998</v>
      </c>
      <c r="S140" s="58">
        <f t="shared" si="23"/>
        <v>43.523499999999999</v>
      </c>
      <c r="T140" s="58" t="str">
        <f>VLOOKUP(J140,BCConc!$B:$E,4,0)</f>
        <v>AB</v>
      </c>
      <c r="U140" s="58" t="str">
        <f t="shared" si="24"/>
        <v>BAT</v>
      </c>
      <c r="V140" s="58" t="str">
        <f>VLOOKUP(U140,BCConc!$L$1:$M$36,2,0)</f>
        <v>Bateria</v>
      </c>
    </row>
    <row r="141" spans="1:22" ht="15" customHeight="1">
      <c r="A141" s="25" t="s">
        <v>163</v>
      </c>
      <c r="B141" s="21" t="s">
        <v>24</v>
      </c>
      <c r="C141" s="34" t="s">
        <v>941</v>
      </c>
      <c r="D141" s="8">
        <f>VLOOKUP(C:C,CtrlBat!$A:$D,3,0)</f>
        <v>52.320000000000007</v>
      </c>
      <c r="E141" s="8">
        <f>VLOOKUP(C:C,CtrlBat!$A:$D,4,0)</f>
        <v>0.55000000000000004</v>
      </c>
      <c r="F141" s="11">
        <f t="shared" si="21"/>
        <v>52.870000000000005</v>
      </c>
      <c r="G141" s="11" t="str">
        <f>IFERROR(VLOOKUP(C:C,CtrlPozo!$B:$O,10,0),"")</f>
        <v/>
      </c>
      <c r="H141" s="9" t="s">
        <v>136</v>
      </c>
      <c r="I141" s="9">
        <f>VLOOKUP(H:H,LP!$A:$C,3,0)</f>
        <v>4</v>
      </c>
      <c r="J141" s="10" t="s">
        <v>103</v>
      </c>
      <c r="K141" s="10" t="s">
        <v>7</v>
      </c>
      <c r="L141" s="34"/>
      <c r="M141" s="34" t="s">
        <v>172</v>
      </c>
      <c r="N141" s="34">
        <f>HLOOKUP(VLOOKUP(J141,BCConc!$B:$D,3,0),$D$1:$G$259,ROW(B141),0)</f>
        <v>52.870000000000005</v>
      </c>
      <c r="O141" s="34">
        <f t="shared" si="19"/>
        <v>5.2869999999999999</v>
      </c>
      <c r="P141" s="34">
        <v>100</v>
      </c>
      <c r="Q141" s="34"/>
      <c r="R141" s="58">
        <f t="shared" si="22"/>
        <v>161.2535</v>
      </c>
      <c r="S141" s="58">
        <f t="shared" si="23"/>
        <v>645.01400000000001</v>
      </c>
      <c r="T141" s="58" t="str">
        <f>VLOOKUP(J141,BCConc!$B:$E,4,0)</f>
        <v>RF</v>
      </c>
      <c r="U141" s="58" t="str">
        <f t="shared" si="24"/>
        <v>BAT</v>
      </c>
      <c r="V141" s="58" t="str">
        <f>VLOOKUP(U141,BCConc!$L$1:$M$36,2,0)</f>
        <v>Bateria</v>
      </c>
    </row>
    <row r="142" spans="1:22" ht="15" customHeight="1">
      <c r="A142" s="25" t="s">
        <v>163</v>
      </c>
      <c r="B142" s="21" t="s">
        <v>24</v>
      </c>
      <c r="C142" s="34" t="s">
        <v>941</v>
      </c>
      <c r="D142" s="8">
        <f>VLOOKUP(C:C,CtrlBat!$A:$D,3,0)</f>
        <v>52.320000000000007</v>
      </c>
      <c r="E142" s="8">
        <f>VLOOKUP(C:C,CtrlBat!$A:$D,4,0)</f>
        <v>0.55000000000000004</v>
      </c>
      <c r="F142" s="11">
        <f t="shared" si="21"/>
        <v>52.870000000000005</v>
      </c>
      <c r="G142" s="11" t="str">
        <f>IFERROR(VLOOKUP(C:C,CtrlPozo!$B:$O,10,0),"")</f>
        <v/>
      </c>
      <c r="H142" s="9" t="s">
        <v>16</v>
      </c>
      <c r="I142" s="9">
        <f>VLOOKUP(H:H,LP!$A:$C,3,0)</f>
        <v>2.5</v>
      </c>
      <c r="J142" s="10" t="s">
        <v>17</v>
      </c>
      <c r="K142" s="10" t="s">
        <v>7</v>
      </c>
      <c r="L142" s="34"/>
      <c r="M142" s="34" t="s">
        <v>172</v>
      </c>
      <c r="N142" s="34">
        <f>HLOOKUP(VLOOKUP(J142,BCConc!$B:$D,3,0),$D$1:$G$259,ROW(B142),0)</f>
        <v>52.870000000000005</v>
      </c>
      <c r="O142" s="34">
        <f t="shared" si="19"/>
        <v>1.0574000000000001</v>
      </c>
      <c r="P142" s="34">
        <v>20</v>
      </c>
      <c r="Q142" s="34"/>
      <c r="R142" s="58">
        <f t="shared" si="22"/>
        <v>32.250700000000002</v>
      </c>
      <c r="S142" s="58">
        <f t="shared" si="23"/>
        <v>80.626750000000001</v>
      </c>
      <c r="T142" s="58" t="str">
        <f>VLOOKUP(J142,BCConc!$B:$E,4,0)</f>
        <v>AB</v>
      </c>
      <c r="U142" s="58" t="str">
        <f t="shared" si="24"/>
        <v>BAT</v>
      </c>
      <c r="V142" s="58" t="str">
        <f>VLOOKUP(U142,BCConc!$L$1:$M$36,2,0)</f>
        <v>Bateria</v>
      </c>
    </row>
    <row r="143" spans="1:22" ht="15" customHeight="1">
      <c r="A143" s="25" t="s">
        <v>163</v>
      </c>
      <c r="B143" s="34" t="s">
        <v>940</v>
      </c>
      <c r="C143" s="18" t="str">
        <f>B143</f>
        <v>NLL.a-2012h</v>
      </c>
      <c r="D143" s="8">
        <f>+VLOOKUP(C:C,CtrlPozo!$B:$O,13,0)</f>
        <v>12.98</v>
      </c>
      <c r="E143" s="8">
        <f>+VLOOKUP(C:C,CtrlPozo!$B:$O,12,0)</f>
        <v>0.05</v>
      </c>
      <c r="F143" s="11">
        <f t="shared" si="21"/>
        <v>13.030000000000001</v>
      </c>
      <c r="G143" s="11">
        <f>IFERROR(VLOOKUP(C:C,CtrlPozo!$B:$O,10,0),"")</f>
        <v>121.59</v>
      </c>
      <c r="H143" s="9" t="s">
        <v>16</v>
      </c>
      <c r="I143" s="9">
        <f>VLOOKUP(H:H,LP!$A:$C,3,0)</f>
        <v>2.5</v>
      </c>
      <c r="J143" s="10" t="s">
        <v>17</v>
      </c>
      <c r="K143" s="10" t="s">
        <v>36</v>
      </c>
      <c r="L143" s="34"/>
      <c r="M143" s="34" t="s">
        <v>172</v>
      </c>
      <c r="N143" s="34">
        <f>HLOOKUP(VLOOKUP(J143,BCConc!$B:$D,3,0),$D$1:$G$259,ROW(B143),0)</f>
        <v>13.030000000000001</v>
      </c>
      <c r="O143" s="34">
        <f t="shared" si="19"/>
        <v>0.2606</v>
      </c>
      <c r="P143" s="34">
        <v>20</v>
      </c>
      <c r="Q143" s="34"/>
      <c r="R143" s="58">
        <f t="shared" si="22"/>
        <v>7.9482999999999997</v>
      </c>
      <c r="S143" s="58">
        <f t="shared" si="23"/>
        <v>19.870750000000001</v>
      </c>
      <c r="T143" s="58" t="str">
        <f>VLOOKUP(J143,BCConc!$B:$E,4,0)</f>
        <v>AB</v>
      </c>
      <c r="U143" s="58" t="str">
        <f t="shared" si="24"/>
        <v>NLL</v>
      </c>
      <c r="V143" s="58" t="str">
        <f>VLOOKUP(U143,BCConc!$L$1:$M$36,2,0)</f>
        <v>Pozo</v>
      </c>
    </row>
    <row r="144" spans="1:22" ht="15" customHeight="1">
      <c r="A144" s="25" t="s">
        <v>163</v>
      </c>
      <c r="B144" s="21" t="s">
        <v>81</v>
      </c>
      <c r="C144" s="34" t="s">
        <v>972</v>
      </c>
      <c r="D144" s="8">
        <f>VLOOKUP(C:C,CtrlBat!$A:$D,3,0)</f>
        <v>70.050000000000011</v>
      </c>
      <c r="E144" s="8">
        <f>VLOOKUP(C:C,CtrlBat!$A:$D,4,0)</f>
        <v>0.37</v>
      </c>
      <c r="F144" s="11">
        <f t="shared" si="21"/>
        <v>70.420000000000016</v>
      </c>
      <c r="G144" s="11" t="str">
        <f>IFERROR(VLOOKUP(C:C,CtrlPozo!$B:$O,10,0),"")</f>
        <v/>
      </c>
      <c r="H144" s="9" t="s">
        <v>16</v>
      </c>
      <c r="I144" s="9">
        <f>VLOOKUP(H:H,LP!$A:$C,3,0)</f>
        <v>2.5</v>
      </c>
      <c r="J144" s="12" t="s">
        <v>17</v>
      </c>
      <c r="K144" s="10" t="s">
        <v>7</v>
      </c>
      <c r="L144" s="34"/>
      <c r="M144" s="34" t="s">
        <v>172</v>
      </c>
      <c r="N144" s="34">
        <f>HLOOKUP(VLOOKUP(J144,BCConc!$B:$D,3,0),$D$1:$G$259,ROW(B144),0)</f>
        <v>70.420000000000016</v>
      </c>
      <c r="O144" s="34">
        <f t="shared" si="19"/>
        <v>1.4084000000000003</v>
      </c>
      <c r="P144" s="34">
        <v>20</v>
      </c>
      <c r="Q144" s="34"/>
      <c r="R144" s="58">
        <f t="shared" si="22"/>
        <v>42.95620000000001</v>
      </c>
      <c r="S144" s="58">
        <f t="shared" si="23"/>
        <v>107.39050000000003</v>
      </c>
      <c r="T144" s="58" t="str">
        <f>VLOOKUP(J144,BCConc!$B:$E,4,0)</f>
        <v>AB</v>
      </c>
      <c r="U144" s="58" t="str">
        <f t="shared" si="24"/>
        <v>BAT</v>
      </c>
      <c r="V144" s="58" t="str">
        <f>VLOOKUP(U144,BCConc!$L$1:$M$36,2,0)</f>
        <v>Bateria</v>
      </c>
    </row>
    <row r="145" spans="1:22" ht="15" customHeight="1">
      <c r="A145" s="25" t="s">
        <v>163</v>
      </c>
      <c r="B145" s="21" t="s">
        <v>139</v>
      </c>
      <c r="C145" s="34" t="s">
        <v>1039</v>
      </c>
      <c r="D145" s="8">
        <f>VLOOKUP(C:C,CtrlBat!$A:$D,3,0)</f>
        <v>16.7</v>
      </c>
      <c r="E145" s="8">
        <f>VLOOKUP(C:C,CtrlBat!$A:$D,4,0)</f>
        <v>0.12</v>
      </c>
      <c r="F145" s="11">
        <f t="shared" si="21"/>
        <v>16.82</v>
      </c>
      <c r="G145" s="11" t="str">
        <f>IFERROR(VLOOKUP(C:C,CtrlPozo!$B:$O,10,0),"")</f>
        <v/>
      </c>
      <c r="H145" s="9" t="s">
        <v>16</v>
      </c>
      <c r="I145" s="9">
        <f>VLOOKUP(H:H,LP!$A:$C,3,0)</f>
        <v>2.5</v>
      </c>
      <c r="J145" s="12" t="s">
        <v>17</v>
      </c>
      <c r="K145" s="10" t="s">
        <v>7</v>
      </c>
      <c r="L145" s="34"/>
      <c r="M145" s="34" t="s">
        <v>172</v>
      </c>
      <c r="N145" s="34">
        <f>HLOOKUP(VLOOKUP(J145,BCConc!$B:$D,3,0),$D$1:$G$259,ROW(B145),0)</f>
        <v>16.82</v>
      </c>
      <c r="O145" s="34">
        <f t="shared" si="19"/>
        <v>0.33639999999999998</v>
      </c>
      <c r="P145" s="34">
        <v>20</v>
      </c>
      <c r="Q145" s="34"/>
      <c r="R145" s="58">
        <f t="shared" si="22"/>
        <v>10.260199999999999</v>
      </c>
      <c r="S145" s="58">
        <f t="shared" si="23"/>
        <v>25.650499999999997</v>
      </c>
      <c r="T145" s="58" t="str">
        <f>VLOOKUP(J145,BCConc!$B:$E,4,0)</f>
        <v>AB</v>
      </c>
      <c r="U145" s="58" t="str">
        <f t="shared" si="24"/>
        <v>BAT</v>
      </c>
      <c r="V145" s="58" t="str">
        <f>VLOOKUP(U145,BCConc!$L$1:$M$36,2,0)</f>
        <v>Bateria</v>
      </c>
    </row>
    <row r="146" spans="1:22" ht="15" customHeight="1">
      <c r="A146" s="25" t="s">
        <v>163</v>
      </c>
      <c r="B146" s="34" t="s">
        <v>971</v>
      </c>
      <c r="C146" s="18" t="str">
        <f>B146</f>
        <v>LL.a-2018(h)</v>
      </c>
      <c r="D146" s="8">
        <f>+VLOOKUP(C:C,CtrlPozo!$B:$O,13,0)</f>
        <v>4.45</v>
      </c>
      <c r="E146" s="8">
        <f>+VLOOKUP(C:C,CtrlPozo!$B:$O,12,0)</f>
        <v>0.02</v>
      </c>
      <c r="F146" s="11">
        <f t="shared" si="21"/>
        <v>4.47</v>
      </c>
      <c r="G146" s="11">
        <f>IFERROR(VLOOKUP(C:C,CtrlPozo!$B:$O,10,0),"")</f>
        <v>43</v>
      </c>
      <c r="H146" s="9" t="s">
        <v>102</v>
      </c>
      <c r="I146" s="9">
        <f>VLOOKUP(H:H,LP!$A:$C,3,0)</f>
        <v>1.88</v>
      </c>
      <c r="J146" s="10" t="s">
        <v>80</v>
      </c>
      <c r="K146" s="10" t="s">
        <v>36</v>
      </c>
      <c r="L146" s="34"/>
      <c r="M146" s="34" t="s">
        <v>172</v>
      </c>
      <c r="N146" s="34">
        <f>HLOOKUP(VLOOKUP(J146,BCConc!$B:$D,3,0),$D$1:$G$259,ROW(B146),0)</f>
        <v>43</v>
      </c>
      <c r="O146" s="34">
        <f>+P146*N146/1000</f>
        <v>2.15</v>
      </c>
      <c r="P146" s="34">
        <v>50</v>
      </c>
      <c r="Q146" s="34"/>
      <c r="R146" s="58">
        <f t="shared" si="22"/>
        <v>65.575000000000003</v>
      </c>
      <c r="S146" s="58">
        <f t="shared" si="23"/>
        <v>123.28099999999999</v>
      </c>
      <c r="T146" s="58" t="str">
        <f>VLOOKUP(J146,BCConc!$B:$E,4,0)</f>
        <v>BS</v>
      </c>
      <c r="U146" s="58" t="str">
        <f t="shared" si="24"/>
        <v>LL.</v>
      </c>
      <c r="V146" s="58" t="str">
        <f>VLOOKUP(U146,BCConc!$L$1:$M$36,2,0)</f>
        <v>Pozo</v>
      </c>
    </row>
    <row r="147" spans="1:22" ht="15" customHeight="1">
      <c r="A147" s="25" t="s">
        <v>163</v>
      </c>
      <c r="B147" s="34" t="s">
        <v>974</v>
      </c>
      <c r="C147" s="18" t="str">
        <f>B147</f>
        <v>LL.a-2019(h)</v>
      </c>
      <c r="D147" s="8">
        <f>+VLOOKUP(C:C,CtrlPozo!$B:$O,13,0)</f>
        <v>2.41</v>
      </c>
      <c r="E147" s="8">
        <f>+VLOOKUP(C:C,CtrlPozo!$B:$O,12,0)</f>
        <v>0.02</v>
      </c>
      <c r="F147" s="11">
        <f t="shared" si="21"/>
        <v>2.4300000000000002</v>
      </c>
      <c r="G147" s="11">
        <f>IFERROR(VLOOKUP(C:C,CtrlPozo!$B:$O,10,0),"")</f>
        <v>233</v>
      </c>
      <c r="H147" s="9" t="s">
        <v>102</v>
      </c>
      <c r="I147" s="9">
        <f>VLOOKUP(H:H,LP!$A:$C,3,0)</f>
        <v>1.88</v>
      </c>
      <c r="J147" s="10" t="s">
        <v>80</v>
      </c>
      <c r="K147" s="10" t="s">
        <v>36</v>
      </c>
      <c r="L147" s="34"/>
      <c r="M147" s="34" t="s">
        <v>172</v>
      </c>
      <c r="N147" s="34">
        <f>HLOOKUP(VLOOKUP(J147,BCConc!$B:$D,3,0),$D$1:$G$259,ROW(B147),0)</f>
        <v>233</v>
      </c>
      <c r="O147" s="34">
        <f>+P147*N147/1000</f>
        <v>11.65</v>
      </c>
      <c r="P147" s="34">
        <v>50</v>
      </c>
      <c r="Q147" s="34"/>
      <c r="R147" s="58">
        <f t="shared" si="22"/>
        <v>355.32499999999999</v>
      </c>
      <c r="S147" s="58">
        <f t="shared" si="23"/>
        <v>668.01099999999997</v>
      </c>
      <c r="T147" s="58" t="str">
        <f>VLOOKUP(J147,BCConc!$B:$E,4,0)</f>
        <v>BS</v>
      </c>
      <c r="U147" s="58" t="str">
        <f t="shared" si="24"/>
        <v>LL.</v>
      </c>
      <c r="V147" s="58" t="str">
        <f>VLOOKUP(U147,BCConc!$L$1:$M$36,2,0)</f>
        <v>Pozo</v>
      </c>
    </row>
    <row r="148" spans="1:22" ht="15" customHeight="1">
      <c r="A148" s="25" t="s">
        <v>163</v>
      </c>
      <c r="B148" s="34" t="s">
        <v>1051</v>
      </c>
      <c r="C148" s="18" t="str">
        <f>B148</f>
        <v>LL-2045(h)</v>
      </c>
      <c r="D148" s="8">
        <f>+VLOOKUP(C:C,CtrlPozo!$B:$O,13,0)</f>
        <v>2.88</v>
      </c>
      <c r="E148" s="8">
        <f>+VLOOKUP(C:C,CtrlPozo!$B:$O,12,0)</f>
        <v>0.01</v>
      </c>
      <c r="F148" s="11">
        <f t="shared" si="21"/>
        <v>2.8899999999999997</v>
      </c>
      <c r="G148" s="11">
        <f>IFERROR(VLOOKUP(C:C,CtrlPozo!$B:$O,10,0),"")</f>
        <v>315</v>
      </c>
      <c r="H148" s="9" t="s">
        <v>102</v>
      </c>
      <c r="I148" s="9">
        <f>VLOOKUP(H:H,LP!$A:$C,3,0)</f>
        <v>1.88</v>
      </c>
      <c r="J148" s="10" t="s">
        <v>80</v>
      </c>
      <c r="K148" s="10" t="s">
        <v>36</v>
      </c>
      <c r="L148" s="34"/>
      <c r="M148" s="34" t="s">
        <v>172</v>
      </c>
      <c r="N148" s="34">
        <f>HLOOKUP(VLOOKUP(J148,BCConc!$B:$D,3,0),$D$1:$G$259,ROW(B148),0)</f>
        <v>315</v>
      </c>
      <c r="O148" s="34">
        <f>+P148*N148/1000</f>
        <v>15.75</v>
      </c>
      <c r="P148" s="34">
        <v>50</v>
      </c>
      <c r="Q148" s="34"/>
      <c r="R148" s="58">
        <f t="shared" si="22"/>
        <v>480.375</v>
      </c>
      <c r="S148" s="58">
        <f t="shared" si="23"/>
        <v>903.1049999999999</v>
      </c>
      <c r="T148" s="58" t="str">
        <f>VLOOKUP(J148,BCConc!$B:$E,4,0)</f>
        <v>BS</v>
      </c>
      <c r="U148" s="58" t="str">
        <f t="shared" si="24"/>
        <v>LL-</v>
      </c>
      <c r="V148" s="58" t="str">
        <f>VLOOKUP(U148,BCConc!$L$1:$M$36,2,0)</f>
        <v>Pozo</v>
      </c>
    </row>
    <row r="149" spans="1:22" ht="15" customHeight="1">
      <c r="A149" s="25" t="s">
        <v>163</v>
      </c>
      <c r="B149" s="21" t="s">
        <v>150</v>
      </c>
      <c r="C149" s="18" t="str">
        <f>B149</f>
        <v>NLL-1007</v>
      </c>
      <c r="D149" s="8">
        <f>+VLOOKUP(C:C,CtrlPozo!$B:$O,13,0)</f>
        <v>2.33</v>
      </c>
      <c r="E149" s="8">
        <f>+VLOOKUP(C:C,CtrlPozo!$B:$O,12,0)</f>
        <v>0.02</v>
      </c>
      <c r="F149" s="11">
        <f t="shared" si="21"/>
        <v>2.35</v>
      </c>
      <c r="G149" s="11">
        <f>IFERROR(VLOOKUP(C:C,CtrlPozo!$B:$O,10,0),"")</f>
        <v>40.22</v>
      </c>
      <c r="H149" s="9" t="s">
        <v>151</v>
      </c>
      <c r="I149" s="9">
        <f>VLOOKUP(H:H,LP!$A:$C,3,0)</f>
        <v>10.02</v>
      </c>
      <c r="J149" s="10" t="s">
        <v>152</v>
      </c>
      <c r="K149" s="10" t="s">
        <v>36</v>
      </c>
      <c r="L149" s="34"/>
      <c r="M149" s="34" t="s">
        <v>172</v>
      </c>
      <c r="N149" s="34">
        <f>HLOOKUP(VLOOKUP(J149,BCConc!$B:$D,3,0),$D$1:$G$259,ROW(B149),0)</f>
        <v>2.35</v>
      </c>
      <c r="O149" s="34">
        <f t="shared" ref="O149:O155" si="26">P149*N149/1000</f>
        <v>2.35</v>
      </c>
      <c r="P149" s="34">
        <v>1000</v>
      </c>
      <c r="Q149" s="34"/>
      <c r="R149" s="58">
        <f t="shared" si="22"/>
        <v>71.674999999999997</v>
      </c>
      <c r="S149" s="58">
        <f t="shared" si="23"/>
        <v>718.18349999999998</v>
      </c>
      <c r="T149" s="58" t="str">
        <f>VLOOKUP(J149,BCConc!$B:$E,4,0)</f>
        <v>RV</v>
      </c>
      <c r="U149" s="58" t="str">
        <f t="shared" si="24"/>
        <v>NLL</v>
      </c>
      <c r="V149" s="58" t="str">
        <f>VLOOKUP(U149,BCConc!$L$1:$M$36,2,0)</f>
        <v>Pozo</v>
      </c>
    </row>
    <row r="150" spans="1:22" ht="15" customHeight="1">
      <c r="A150" s="25" t="s">
        <v>163</v>
      </c>
      <c r="B150" s="21" t="s">
        <v>82</v>
      </c>
      <c r="C150" s="34" t="s">
        <v>1080</v>
      </c>
      <c r="D150" s="8">
        <f>VLOOKUP(C:C,CtrlBat!$A:$D,3,0)</f>
        <v>17.89</v>
      </c>
      <c r="E150" s="8">
        <f>VLOOKUP(C:C,CtrlBat!$A:$D,4,0)</f>
        <v>0.09</v>
      </c>
      <c r="F150" s="11">
        <f t="shared" si="21"/>
        <v>17.98</v>
      </c>
      <c r="G150" s="11" t="str">
        <f>IFERROR(VLOOKUP(C:C,CtrlPozo!$B:$O,10,0),"")</f>
        <v/>
      </c>
      <c r="H150" s="9" t="s">
        <v>16</v>
      </c>
      <c r="I150" s="9">
        <f>VLOOKUP(H:H,LP!$A:$C,3,0)</f>
        <v>2.5</v>
      </c>
      <c r="J150" s="12" t="s">
        <v>17</v>
      </c>
      <c r="K150" s="10" t="s">
        <v>7</v>
      </c>
      <c r="L150" s="34"/>
      <c r="M150" s="34" t="s">
        <v>172</v>
      </c>
      <c r="N150" s="34">
        <f>HLOOKUP(VLOOKUP(J150,BCConc!$B:$D,3,0),$D$1:$G$259,ROW(B150),0)</f>
        <v>17.98</v>
      </c>
      <c r="O150" s="34">
        <f t="shared" si="26"/>
        <v>0.35960000000000003</v>
      </c>
      <c r="P150" s="34">
        <v>20</v>
      </c>
      <c r="Q150" s="34"/>
      <c r="R150" s="58">
        <f t="shared" si="22"/>
        <v>10.9678</v>
      </c>
      <c r="S150" s="58">
        <f t="shared" si="23"/>
        <v>27.419499999999999</v>
      </c>
      <c r="T150" s="58" t="str">
        <f>VLOOKUP(J150,BCConc!$B:$E,4,0)</f>
        <v>AB</v>
      </c>
      <c r="U150" s="58" t="str">
        <f t="shared" si="24"/>
        <v>BAT</v>
      </c>
      <c r="V150" s="58" t="str">
        <f>VLOOKUP(U150,BCConc!$L$1:$M$36,2,0)</f>
        <v>Bateria</v>
      </c>
    </row>
    <row r="151" spans="1:22" ht="15" customHeight="1">
      <c r="A151" s="30" t="s">
        <v>164</v>
      </c>
      <c r="B151" s="1" t="s">
        <v>886</v>
      </c>
      <c r="C151" s="18" t="str">
        <f>B151</f>
        <v>LVo.a-9(d)</v>
      </c>
      <c r="D151" s="8">
        <f>+VLOOKUP(C:C,CtrlPozo!$B:$O,13,0)</f>
        <v>14.67</v>
      </c>
      <c r="E151" s="8">
        <f>+VLOOKUP(C:C,CtrlPozo!$B:$O,12,0)</f>
        <v>108.83</v>
      </c>
      <c r="F151" s="11">
        <f t="shared" si="21"/>
        <v>123.5</v>
      </c>
      <c r="G151" s="11">
        <f>IFERROR(VLOOKUP(C:C,CtrlPozo!$B:$O,10,0),"")</f>
        <v>18725</v>
      </c>
      <c r="H151" s="9" t="s">
        <v>96</v>
      </c>
      <c r="I151" s="9">
        <f>VLOOKUP(H:H,LP!$A:$C,3,0)</f>
        <v>4.25</v>
      </c>
      <c r="J151" s="9" t="s">
        <v>103</v>
      </c>
      <c r="K151" s="10" t="s">
        <v>35</v>
      </c>
      <c r="L151" s="34"/>
      <c r="M151" s="34" t="s">
        <v>172</v>
      </c>
      <c r="N151" s="34">
        <f>HLOOKUP(VLOOKUP(J151,BCConc!$B:$D,3,0),$D$1:$G$259,ROW(B151),0)</f>
        <v>123.5</v>
      </c>
      <c r="O151" s="34">
        <f t="shared" si="26"/>
        <v>30.875</v>
      </c>
      <c r="P151" s="34">
        <v>250</v>
      </c>
      <c r="Q151" s="34"/>
      <c r="R151" s="58">
        <f t="shared" si="22"/>
        <v>941.6875</v>
      </c>
      <c r="S151" s="58">
        <f t="shared" si="23"/>
        <v>4002.171875</v>
      </c>
      <c r="T151" s="58" t="str">
        <f>VLOOKUP(J151,BCConc!$B:$E,4,0)</f>
        <v>RF</v>
      </c>
      <c r="U151" s="58" t="str">
        <f t="shared" si="24"/>
        <v>LVo</v>
      </c>
      <c r="V151" s="58" t="str">
        <f>VLOOKUP(U151,BCConc!$L$1:$M$36,2,0)</f>
        <v>Pozo</v>
      </c>
    </row>
    <row r="152" spans="1:22" ht="15" customHeight="1">
      <c r="A152" s="26" t="s">
        <v>162</v>
      </c>
      <c r="B152" s="1" t="s">
        <v>978</v>
      </c>
      <c r="C152" s="18" t="str">
        <f>B152</f>
        <v>LDM-79</v>
      </c>
      <c r="D152" s="8">
        <f>+VLOOKUP(C:C,CtrlPozo!$B:$O,13,0)</f>
        <v>1.91</v>
      </c>
      <c r="E152" s="8">
        <f>+VLOOKUP(C:C,CtrlPozo!$B:$O,12,0)</f>
        <v>29.07</v>
      </c>
      <c r="F152" s="11">
        <f t="shared" si="21"/>
        <v>30.98</v>
      </c>
      <c r="G152" s="11">
        <f>IFERROR(VLOOKUP(C:C,CtrlPozo!$B:$O,10,0),"")</f>
        <v>174</v>
      </c>
      <c r="H152" s="9" t="s">
        <v>97</v>
      </c>
      <c r="I152" s="9">
        <f>VLOOKUP(H:H,LP!$A:$C,3,0)</f>
        <v>2.19</v>
      </c>
      <c r="J152" s="10" t="s">
        <v>12</v>
      </c>
      <c r="K152" s="10" t="s">
        <v>36</v>
      </c>
      <c r="L152" s="34"/>
      <c r="M152" s="34" t="s">
        <v>172</v>
      </c>
      <c r="N152" s="34">
        <f>HLOOKUP(VLOOKUP(J152,BCConc!$B:$D,3,0),$D$1:$G$259,ROW(B152),0)</f>
        <v>29.07</v>
      </c>
      <c r="O152" s="34">
        <f t="shared" si="26"/>
        <v>2.3256000000000001</v>
      </c>
      <c r="P152" s="34">
        <v>80</v>
      </c>
      <c r="Q152" s="34"/>
      <c r="R152" s="58">
        <f t="shared" si="22"/>
        <v>70.930800000000005</v>
      </c>
      <c r="S152" s="58">
        <f t="shared" si="23"/>
        <v>155.33845200000002</v>
      </c>
      <c r="T152" s="58" t="str">
        <f>VLOOKUP(J152,BCConc!$B:$E,4,0)</f>
        <v>IC</v>
      </c>
      <c r="U152" s="58" t="str">
        <f t="shared" si="24"/>
        <v>LDM</v>
      </c>
      <c r="V152" s="58" t="str">
        <f>VLOOKUP(U152,BCConc!$L$1:$M$36,2,0)</f>
        <v>Pozo</v>
      </c>
    </row>
    <row r="153" spans="1:22" ht="15" customHeight="1">
      <c r="A153" s="26" t="s">
        <v>162</v>
      </c>
      <c r="B153" s="21" t="s">
        <v>83</v>
      </c>
      <c r="C153" s="11"/>
      <c r="D153" s="53">
        <f>0.33*40.75</f>
        <v>13.4475</v>
      </c>
      <c r="E153" s="53">
        <f>0.33*65.74</f>
        <v>21.694199999999999</v>
      </c>
      <c r="F153" s="11">
        <f t="shared" si="21"/>
        <v>35.1417</v>
      </c>
      <c r="G153" s="11" t="str">
        <f>IFERROR(VLOOKUP(C:C,CtrlPozo!$B:$O,10,0),"")</f>
        <v/>
      </c>
      <c r="H153" s="9" t="s">
        <v>101</v>
      </c>
      <c r="I153" s="9">
        <f>VLOOKUP(H:H,LP!$A:$C,3,0)</f>
        <v>4</v>
      </c>
      <c r="J153" s="10" t="s">
        <v>13</v>
      </c>
      <c r="K153" s="10" t="s">
        <v>7</v>
      </c>
      <c r="L153" s="34"/>
      <c r="M153" s="34" t="s">
        <v>172</v>
      </c>
      <c r="N153" s="34">
        <f>HLOOKUP(VLOOKUP(J153,BCConc!$B:$D,3,0),$D$1:$G$259,ROW(B153),0)</f>
        <v>13.4475</v>
      </c>
      <c r="O153" s="34">
        <f t="shared" si="26"/>
        <v>2.6894999999999998</v>
      </c>
      <c r="P153" s="34">
        <v>200</v>
      </c>
      <c r="Q153" s="34"/>
      <c r="R153" s="58">
        <f t="shared" si="22"/>
        <v>82.029749999999993</v>
      </c>
      <c r="S153" s="58">
        <f t="shared" si="23"/>
        <v>328.11899999999997</v>
      </c>
      <c r="T153" s="58" t="str">
        <f>VLOOKUP(J153,BCConc!$B:$E,4,0)</f>
        <v>DB</v>
      </c>
      <c r="U153" s="58" t="str">
        <f t="shared" si="24"/>
        <v>COL</v>
      </c>
      <c r="V153" s="58" t="str">
        <f>VLOOKUP(U153,BCConc!$L$1:$M$36,2,0)</f>
        <v>Colector</v>
      </c>
    </row>
    <row r="154" spans="1:22" ht="15" customHeight="1">
      <c r="A154" s="26" t="s">
        <v>162</v>
      </c>
      <c r="B154" s="21" t="s">
        <v>62</v>
      </c>
      <c r="C154" s="11"/>
      <c r="D154" s="53">
        <f>0.33*40.75</f>
        <v>13.4475</v>
      </c>
      <c r="E154" s="53">
        <f>0.33*65.74</f>
        <v>21.694199999999999</v>
      </c>
      <c r="F154" s="11">
        <f t="shared" si="21"/>
        <v>35.1417</v>
      </c>
      <c r="G154" s="11" t="str">
        <f>IFERROR(VLOOKUP(C:C,CtrlPozo!$B:$O,10,0),"")</f>
        <v/>
      </c>
      <c r="H154" s="9" t="s">
        <v>101</v>
      </c>
      <c r="I154" s="9">
        <f>VLOOKUP(H:H,LP!$A:$C,3,0)</f>
        <v>4</v>
      </c>
      <c r="J154" s="10" t="s">
        <v>13</v>
      </c>
      <c r="K154" s="10" t="s">
        <v>7</v>
      </c>
      <c r="L154" s="34"/>
      <c r="M154" s="34" t="s">
        <v>172</v>
      </c>
      <c r="N154" s="34">
        <f>HLOOKUP(VLOOKUP(J154,BCConc!$B:$D,3,0),$D$1:$G$259,ROW(B154),0)</f>
        <v>13.4475</v>
      </c>
      <c r="O154" s="34">
        <f t="shared" si="26"/>
        <v>2.6894999999999998</v>
      </c>
      <c r="P154" s="34">
        <v>200</v>
      </c>
      <c r="Q154" s="34"/>
      <c r="R154" s="58">
        <f t="shared" si="22"/>
        <v>82.029749999999993</v>
      </c>
      <c r="S154" s="58">
        <f t="shared" si="23"/>
        <v>328.11899999999997</v>
      </c>
      <c r="T154" s="58" t="str">
        <f>VLOOKUP(J154,BCConc!$B:$E,4,0)</f>
        <v>DB</v>
      </c>
      <c r="U154" s="58" t="str">
        <f t="shared" si="24"/>
        <v>COL</v>
      </c>
      <c r="V154" s="58" t="str">
        <f>VLOOKUP(U154,BCConc!$L$1:$M$36,2,0)</f>
        <v>Colector</v>
      </c>
    </row>
    <row r="155" spans="1:22" ht="15" customHeight="1">
      <c r="A155" s="26" t="s">
        <v>162</v>
      </c>
      <c r="B155" s="21" t="s">
        <v>84</v>
      </c>
      <c r="C155" s="11"/>
      <c r="D155" s="53">
        <f>0.33*40.75</f>
        <v>13.4475</v>
      </c>
      <c r="E155" s="53">
        <f>0.33*65.74</f>
        <v>21.694199999999999</v>
      </c>
      <c r="F155" s="11">
        <f t="shared" si="21"/>
        <v>35.1417</v>
      </c>
      <c r="G155" s="11" t="str">
        <f>IFERROR(VLOOKUP(C:C,CtrlPozo!$B:$O,10,0),"")</f>
        <v/>
      </c>
      <c r="H155" s="9" t="s">
        <v>97</v>
      </c>
      <c r="I155" s="9">
        <f>VLOOKUP(H:H,LP!$A:$C,3,0)</f>
        <v>2.19</v>
      </c>
      <c r="J155" s="10" t="s">
        <v>12</v>
      </c>
      <c r="K155" s="10" t="s">
        <v>15</v>
      </c>
      <c r="L155" s="34"/>
      <c r="M155" s="34" t="s">
        <v>172</v>
      </c>
      <c r="N155" s="34">
        <f>HLOOKUP(VLOOKUP(J155,BCConc!$B:$D,3,0),$D$1:$G$259,ROW(B155),0)</f>
        <v>21.694199999999999</v>
      </c>
      <c r="O155" s="34">
        <f t="shared" si="26"/>
        <v>1.7355359999999997</v>
      </c>
      <c r="P155" s="34">
        <v>80</v>
      </c>
      <c r="Q155" s="34"/>
      <c r="R155" s="58">
        <f t="shared" si="22"/>
        <v>52.93384799999999</v>
      </c>
      <c r="S155" s="58">
        <f t="shared" si="23"/>
        <v>115.92512711999997</v>
      </c>
      <c r="T155" s="58" t="str">
        <f>VLOOKUP(J155,BCConc!$B:$E,4,0)</f>
        <v>IC</v>
      </c>
      <c r="U155" s="58" t="str">
        <f t="shared" si="24"/>
        <v>CAL</v>
      </c>
      <c r="V155" s="58" t="str">
        <f>VLOOKUP(U155,BCConc!$L$1:$M$36,2,0)</f>
        <v>Calentador</v>
      </c>
    </row>
    <row r="156" spans="1:22" ht="15" customHeight="1">
      <c r="A156" s="26" t="s">
        <v>162</v>
      </c>
      <c r="B156" s="21" t="s">
        <v>41</v>
      </c>
      <c r="C156" s="34" t="s">
        <v>415</v>
      </c>
      <c r="D156" s="8">
        <f>VLOOKUP(C:C,CtrlBat!$A:$D,3,0)</f>
        <v>40.75</v>
      </c>
      <c r="E156" s="8">
        <f>VLOOKUP(C:C,CtrlBat!$A:$D,4,0)</f>
        <v>65.740000000000009</v>
      </c>
      <c r="F156" s="11">
        <f t="shared" si="21"/>
        <v>106.49000000000001</v>
      </c>
      <c r="G156" s="11" t="str">
        <f>IFERROR(VLOOKUP(C:C,CtrlPozo!$B:$O,10,0),"")</f>
        <v/>
      </c>
      <c r="H156" s="9" t="s">
        <v>129</v>
      </c>
      <c r="I156" s="9">
        <f>VLOOKUP(H:H,LP!$A:$C,3,0)</f>
        <v>5.44</v>
      </c>
      <c r="J156" s="10" t="s">
        <v>44</v>
      </c>
      <c r="K156" s="10" t="s">
        <v>32</v>
      </c>
      <c r="L156" s="34"/>
      <c r="M156" s="34" t="s">
        <v>172</v>
      </c>
      <c r="N156" s="34">
        <f>HLOOKUP(VLOOKUP(J156,BCConc!$B:$D,3,0),$D$1:$G$259,ROW(B156),0)</f>
        <v>106.49000000000001</v>
      </c>
      <c r="O156" s="34">
        <f>N156*P156/1000</f>
        <v>7.9867500000000007</v>
      </c>
      <c r="P156" s="34">
        <v>75</v>
      </c>
      <c r="Q156" s="34"/>
      <c r="R156" s="58">
        <f t="shared" si="22"/>
        <v>243.59587500000004</v>
      </c>
      <c r="S156" s="58">
        <f t="shared" si="23"/>
        <v>1325.1615600000002</v>
      </c>
      <c r="T156" s="58" t="str">
        <f>VLOOKUP(J156,BCConc!$B:$E,4,0)</f>
        <v>RT</v>
      </c>
      <c r="U156" s="58" t="str">
        <f t="shared" si="24"/>
        <v>BAT</v>
      </c>
      <c r="V156" s="58" t="str">
        <f>VLOOKUP(U156,BCConc!$L$1:$M$36,2,0)</f>
        <v>Bateria</v>
      </c>
    </row>
    <row r="157" spans="1:22" ht="15" customHeight="1">
      <c r="A157" s="26" t="s">
        <v>162</v>
      </c>
      <c r="B157" s="21" t="s">
        <v>41</v>
      </c>
      <c r="C157" s="34" t="s">
        <v>415</v>
      </c>
      <c r="D157" s="8">
        <f>VLOOKUP(C:C,CtrlBat!$A:$D,3,0)</f>
        <v>40.75</v>
      </c>
      <c r="E157" s="8">
        <f>VLOOKUP(C:C,CtrlBat!$A:$D,4,0)</f>
        <v>65.740000000000009</v>
      </c>
      <c r="F157" s="11">
        <f t="shared" si="21"/>
        <v>106.49000000000001</v>
      </c>
      <c r="G157" s="11" t="str">
        <f>IFERROR(VLOOKUP(C:C,CtrlPozo!$B:$O,10,0),"")</f>
        <v/>
      </c>
      <c r="H157" s="9" t="s">
        <v>101</v>
      </c>
      <c r="I157" s="9">
        <f>VLOOKUP(H:H,LP!$A:$C,3,0)</f>
        <v>4</v>
      </c>
      <c r="J157" s="10" t="s">
        <v>13</v>
      </c>
      <c r="K157" s="10" t="s">
        <v>85</v>
      </c>
      <c r="L157" s="34"/>
      <c r="M157" s="34" t="s">
        <v>172</v>
      </c>
      <c r="N157" s="34">
        <f>HLOOKUP(VLOOKUP(J157,BCConc!$B:$D,3,0),$D$1:$G$259,ROW(B157),0)</f>
        <v>40.75</v>
      </c>
      <c r="O157" s="34">
        <f>P157*N157/1000</f>
        <v>8.15</v>
      </c>
      <c r="P157" s="34">
        <v>200</v>
      </c>
      <c r="Q157" s="34"/>
      <c r="R157" s="58">
        <f t="shared" si="22"/>
        <v>248.57500000000002</v>
      </c>
      <c r="S157" s="58">
        <f t="shared" si="23"/>
        <v>994.30000000000007</v>
      </c>
      <c r="T157" s="58" t="str">
        <f>VLOOKUP(J157,BCConc!$B:$E,4,0)</f>
        <v>DB</v>
      </c>
      <c r="U157" s="58" t="str">
        <f t="shared" si="24"/>
        <v>BAT</v>
      </c>
      <c r="V157" s="58" t="str">
        <f>VLOOKUP(U157,BCConc!$L$1:$M$36,2,0)</f>
        <v>Bateria</v>
      </c>
    </row>
    <row r="158" spans="1:22" ht="15" customHeight="1">
      <c r="A158" s="26" t="s">
        <v>162</v>
      </c>
      <c r="B158" s="21" t="s">
        <v>41</v>
      </c>
      <c r="C158" s="34" t="s">
        <v>415</v>
      </c>
      <c r="D158" s="8">
        <f>VLOOKUP(C:C,CtrlBat!$A:$D,3,0)</f>
        <v>40.75</v>
      </c>
      <c r="E158" s="8">
        <f>VLOOKUP(C:C,CtrlBat!$A:$D,4,0)</f>
        <v>65.740000000000009</v>
      </c>
      <c r="F158" s="11">
        <f t="shared" si="21"/>
        <v>106.49000000000001</v>
      </c>
      <c r="G158" s="11" t="str">
        <f>IFERROR(VLOOKUP(C:C,CtrlPozo!$B:$O,10,0),"")</f>
        <v/>
      </c>
      <c r="H158" s="9" t="s">
        <v>99</v>
      </c>
      <c r="I158" s="9">
        <f>VLOOKUP(H:H,LP!$A:$C,3,0)</f>
        <v>4.38</v>
      </c>
      <c r="J158" s="10" t="s">
        <v>46</v>
      </c>
      <c r="K158" s="10" t="s">
        <v>107</v>
      </c>
      <c r="L158" s="34"/>
      <c r="M158" s="34" t="s">
        <v>172</v>
      </c>
      <c r="N158" s="34">
        <f>HLOOKUP(VLOOKUP(J158,BCConc!$B:$D,3,0),$D$1:$G$259,ROW(B158),0)</f>
        <v>106.49000000000001</v>
      </c>
      <c r="O158" s="34">
        <f>P158*N158/1000</f>
        <v>26.622500000000002</v>
      </c>
      <c r="P158" s="34">
        <v>250</v>
      </c>
      <c r="Q158" s="34"/>
      <c r="R158" s="58">
        <f t="shared" si="22"/>
        <v>811.98625000000004</v>
      </c>
      <c r="S158" s="58">
        <f t="shared" si="23"/>
        <v>3556.4997750000002</v>
      </c>
      <c r="T158" s="58" t="str">
        <f>VLOOKUP(J158,BCConc!$B:$E,4,0)</f>
        <v>DP</v>
      </c>
      <c r="U158" s="58" t="str">
        <f t="shared" si="24"/>
        <v>BAT</v>
      </c>
      <c r="V158" s="58" t="str">
        <f>VLOOKUP(U158,BCConc!$L$1:$M$36,2,0)</f>
        <v>Bateria</v>
      </c>
    </row>
    <row r="159" spans="1:22" ht="15" customHeight="1">
      <c r="A159" s="26" t="s">
        <v>162</v>
      </c>
      <c r="B159" s="21" t="s">
        <v>41</v>
      </c>
      <c r="C159" s="34" t="s">
        <v>415</v>
      </c>
      <c r="D159" s="8">
        <f>VLOOKUP(C:C,CtrlBat!$A:$D,3,0)</f>
        <v>40.75</v>
      </c>
      <c r="E159" s="8">
        <f>VLOOKUP(C:C,CtrlBat!$A:$D,4,0)</f>
        <v>65.740000000000009</v>
      </c>
      <c r="F159" s="11">
        <f t="shared" si="21"/>
        <v>106.49000000000001</v>
      </c>
      <c r="G159" s="11" t="str">
        <f>IFERROR(VLOOKUP(C:C,CtrlPozo!$B:$O,10,0),"")</f>
        <v/>
      </c>
      <c r="H159" s="9" t="s">
        <v>18</v>
      </c>
      <c r="I159" s="9">
        <f>VLOOKUP(H:H,LP!$A:$C,3,0)</f>
        <v>2.65</v>
      </c>
      <c r="J159" s="27" t="s">
        <v>19</v>
      </c>
      <c r="K159" s="27" t="s">
        <v>11</v>
      </c>
      <c r="L159" s="34"/>
      <c r="M159" s="34" t="s">
        <v>172</v>
      </c>
      <c r="N159" s="34">
        <f>HLOOKUP(VLOOKUP(J159,BCConc!$B:$D,3,0),$D$1:$G$259,ROW(B159),0)</f>
        <v>65.740000000000009</v>
      </c>
      <c r="O159" s="34">
        <f>P159*N159/1000</f>
        <v>1.3148000000000002</v>
      </c>
      <c r="P159" s="34">
        <v>20</v>
      </c>
      <c r="Q159" s="34"/>
      <c r="R159" s="58">
        <f t="shared" si="22"/>
        <v>40.101400000000005</v>
      </c>
      <c r="S159" s="58">
        <f t="shared" si="23"/>
        <v>106.26871000000001</v>
      </c>
      <c r="T159" s="58" t="str">
        <f>VLOOKUP(J159,BCConc!$B:$E,4,0)</f>
        <v>CY</v>
      </c>
      <c r="U159" s="58" t="str">
        <f t="shared" si="24"/>
        <v>BAT</v>
      </c>
      <c r="V159" s="58" t="str">
        <f>VLOOKUP(U159,BCConc!$L$1:$M$36,2,0)</f>
        <v>Bateria</v>
      </c>
    </row>
    <row r="160" spans="1:22" ht="15" customHeight="1">
      <c r="A160" s="24" t="s">
        <v>167</v>
      </c>
      <c r="B160" s="34" t="s">
        <v>1167</v>
      </c>
      <c r="C160" s="8" t="str">
        <f t="shared" ref="C160:C161" si="27">B160</f>
        <v>MdVO.x-1</v>
      </c>
      <c r="D160" s="8">
        <f>+VLOOKUP(C:C,CtrlPozo!$B:$O,13,0)</f>
        <v>2.78</v>
      </c>
      <c r="E160" s="8">
        <f>+VLOOKUP(C:C,CtrlPozo!$B:$O,12,0)</f>
        <v>15.52</v>
      </c>
      <c r="F160" s="11">
        <f t="shared" si="21"/>
        <v>18.3</v>
      </c>
      <c r="G160" s="11">
        <f>IFERROR(VLOOKUP(C:C,CtrlPozo!$B:$O,10,0),"")</f>
        <v>5200</v>
      </c>
      <c r="H160" s="9" t="s">
        <v>96</v>
      </c>
      <c r="I160" s="9">
        <f>VLOOKUP(H:H,LP!$A:$C,3,0)</f>
        <v>4.25</v>
      </c>
      <c r="J160" s="10" t="s">
        <v>103</v>
      </c>
      <c r="K160" s="10" t="s">
        <v>35</v>
      </c>
      <c r="L160" s="34"/>
      <c r="M160" s="34" t="s">
        <v>172</v>
      </c>
      <c r="N160" s="34">
        <f>HLOOKUP(VLOOKUP(J160,BCConc!$B:$D,3,0),$D$1:$G$259,ROW(B160),0)</f>
        <v>18.3</v>
      </c>
      <c r="O160" s="34">
        <f>P160*N160/1000</f>
        <v>4.5750000000000002</v>
      </c>
      <c r="P160" s="34">
        <v>250</v>
      </c>
      <c r="Q160" s="34"/>
      <c r="R160" s="58">
        <f t="shared" si="22"/>
        <v>139.53749999999999</v>
      </c>
      <c r="S160" s="58">
        <f t="shared" si="23"/>
        <v>593.03437499999995</v>
      </c>
      <c r="T160" s="58" t="str">
        <f>VLOOKUP(J160,BCConc!$B:$E,4,0)</f>
        <v>RF</v>
      </c>
      <c r="U160" s="58" t="str">
        <f t="shared" si="24"/>
        <v>MdV</v>
      </c>
      <c r="V160" s="58" t="str">
        <f>VLOOKUP(U160,BCConc!$L$1:$M$36,2,0)</f>
        <v>Pozo</v>
      </c>
    </row>
    <row r="161" spans="1:22" ht="15" customHeight="1">
      <c r="A161" s="24" t="s">
        <v>167</v>
      </c>
      <c r="B161" s="34" t="s">
        <v>1167</v>
      </c>
      <c r="C161" s="8" t="str">
        <f t="shared" si="27"/>
        <v>MdVO.x-1</v>
      </c>
      <c r="D161" s="8">
        <f>+VLOOKUP(C:C,CtrlPozo!$B:$O,13,0)</f>
        <v>2.78</v>
      </c>
      <c r="E161" s="8">
        <f>+VLOOKUP(C:C,CtrlPozo!$B:$O,12,0)</f>
        <v>15.52</v>
      </c>
      <c r="F161" s="11">
        <f t="shared" si="21"/>
        <v>18.3</v>
      </c>
      <c r="G161" s="11">
        <f>IFERROR(VLOOKUP(C:C,CtrlPozo!$B:$O,10,0),"")</f>
        <v>5200</v>
      </c>
      <c r="H161" s="9" t="s">
        <v>96</v>
      </c>
      <c r="I161" s="9">
        <f>VLOOKUP(H:H,LP!$A:$C,3,0)</f>
        <v>4.25</v>
      </c>
      <c r="J161" s="10" t="s">
        <v>103</v>
      </c>
      <c r="K161" s="10" t="s">
        <v>35</v>
      </c>
      <c r="L161" s="34"/>
      <c r="M161" s="34" t="s">
        <v>172</v>
      </c>
      <c r="N161" s="34">
        <f>HLOOKUP(VLOOKUP(J161,BCConc!$B:$D,3,0),$D$1:$G$259,ROW(B161),0)</f>
        <v>18.3</v>
      </c>
      <c r="O161" s="34">
        <f>P161*N161/1000</f>
        <v>4.5750000000000002</v>
      </c>
      <c r="P161" s="34">
        <v>250</v>
      </c>
      <c r="Q161" s="34"/>
      <c r="R161" s="58">
        <f t="shared" si="22"/>
        <v>139.53749999999999</v>
      </c>
      <c r="S161" s="58">
        <f t="shared" si="23"/>
        <v>593.03437499999995</v>
      </c>
      <c r="T161" s="58" t="str">
        <f>VLOOKUP(J161,BCConc!$B:$E,4,0)</f>
        <v>RF</v>
      </c>
      <c r="U161" s="58" t="str">
        <f t="shared" si="24"/>
        <v>MdV</v>
      </c>
      <c r="V161" s="58" t="str">
        <f>VLOOKUP(U161,BCConc!$L$1:$M$36,2,0)</f>
        <v>Pozo</v>
      </c>
    </row>
    <row r="162" spans="1:22" ht="15" customHeight="1">
      <c r="A162" s="7" t="s">
        <v>158</v>
      </c>
      <c r="B162" s="21" t="s">
        <v>820</v>
      </c>
      <c r="C162" s="8" t="str">
        <f t="shared" ref="C162:C181" si="28">B162</f>
        <v>NCF-0009</v>
      </c>
      <c r="D162" s="8">
        <f>+VLOOKUP(C:C,CtrlPozo!$B:$O,13,0)</f>
        <v>3.93</v>
      </c>
      <c r="E162" s="8">
        <f>+VLOOKUP(C:C,CtrlPozo!$B:$O,12,0)</f>
        <v>2.4300000000000002</v>
      </c>
      <c r="F162" s="11">
        <f t="shared" si="21"/>
        <v>6.36</v>
      </c>
      <c r="G162" s="11">
        <f>IFERROR(VLOOKUP(C:C,CtrlPozo!$B:$O,10,0),"")</f>
        <v>4253.5</v>
      </c>
      <c r="H162" s="9" t="s">
        <v>99</v>
      </c>
      <c r="I162" s="9">
        <f>VLOOKUP(H:H,LP!$A:$C,3,0)</f>
        <v>4.38</v>
      </c>
      <c r="J162" s="10" t="s">
        <v>46</v>
      </c>
      <c r="K162" s="10" t="s">
        <v>171</v>
      </c>
      <c r="L162" s="10" t="s">
        <v>87</v>
      </c>
      <c r="M162" s="9" t="s">
        <v>30</v>
      </c>
      <c r="N162" s="34">
        <f>HLOOKUP(VLOOKUP(J162,BCConc!$B:$D,3,0),$D$1:$G$259,ROW(B162),0)</f>
        <v>6.36</v>
      </c>
      <c r="O162" s="34"/>
      <c r="P162" s="34"/>
      <c r="Q162" s="34">
        <v>50</v>
      </c>
      <c r="R162" s="58">
        <f t="shared" si="22"/>
        <v>100</v>
      </c>
      <c r="S162" s="58">
        <f t="shared" si="23"/>
        <v>438</v>
      </c>
      <c r="T162" s="58" t="str">
        <f>VLOOKUP(J162,BCConc!$B:$E,4,0)</f>
        <v>DP</v>
      </c>
      <c r="U162" s="58" t="str">
        <f t="shared" si="24"/>
        <v>NCF</v>
      </c>
      <c r="V162" s="58" t="str">
        <f>VLOOKUP(U162,BCConc!$L$1:$M$36,2,0)</f>
        <v>Pozo</v>
      </c>
    </row>
    <row r="163" spans="1:22" ht="15" customHeight="1">
      <c r="A163" s="7" t="s">
        <v>158</v>
      </c>
      <c r="B163" s="21" t="s">
        <v>510</v>
      </c>
      <c r="C163" s="8" t="str">
        <f t="shared" si="28"/>
        <v>NCF-0047</v>
      </c>
      <c r="D163" s="8">
        <f>+VLOOKUP(C:C,CtrlPozo!$B:$O,13,0)</f>
        <v>0.68</v>
      </c>
      <c r="E163" s="8">
        <f>+VLOOKUP(C:C,CtrlPozo!$B:$O,12,0)</f>
        <v>0.39</v>
      </c>
      <c r="F163" s="11">
        <f t="shared" si="21"/>
        <v>1.07</v>
      </c>
      <c r="G163" s="11">
        <f>IFERROR(VLOOKUP(C:C,CtrlPozo!$B:$O,10,0),"")</f>
        <v>125.21</v>
      </c>
      <c r="H163" s="9" t="s">
        <v>99</v>
      </c>
      <c r="I163" s="9">
        <f>VLOOKUP(H:H,LP!$A:$C,3,0)</f>
        <v>4.38</v>
      </c>
      <c r="J163" s="10" t="s">
        <v>46</v>
      </c>
      <c r="K163" s="10" t="s">
        <v>171</v>
      </c>
      <c r="L163" s="10" t="s">
        <v>87</v>
      </c>
      <c r="M163" s="9" t="s">
        <v>30</v>
      </c>
      <c r="N163" s="34">
        <f>HLOOKUP(VLOOKUP(J163,BCConc!$B:$D,3,0),$D$1:$G$259,ROW(B163),0)</f>
        <v>1.07</v>
      </c>
      <c r="O163" s="34"/>
      <c r="P163" s="34"/>
      <c r="Q163" s="34">
        <v>50</v>
      </c>
      <c r="R163" s="58">
        <f t="shared" si="22"/>
        <v>100</v>
      </c>
      <c r="S163" s="58">
        <f t="shared" si="23"/>
        <v>438</v>
      </c>
      <c r="T163" s="58" t="str">
        <f>VLOOKUP(J163,BCConc!$B:$E,4,0)</f>
        <v>DP</v>
      </c>
      <c r="U163" s="58" t="str">
        <f t="shared" si="24"/>
        <v>NCF</v>
      </c>
      <c r="V163" s="58" t="str">
        <f>VLOOKUP(U163,BCConc!$L$1:$M$36,2,0)</f>
        <v>Pozo</v>
      </c>
    </row>
    <row r="164" spans="1:22" ht="15" customHeight="1">
      <c r="A164" s="7" t="s">
        <v>158</v>
      </c>
      <c r="B164" s="21" t="s">
        <v>565</v>
      </c>
      <c r="C164" s="8" t="str">
        <f t="shared" si="28"/>
        <v>NCF-119</v>
      </c>
      <c r="D164" s="8">
        <f>+VLOOKUP(C:C,CtrlPozo!$B:$O,13,0)</f>
        <v>1.05</v>
      </c>
      <c r="E164" s="8">
        <f>+VLOOKUP(C:C,CtrlPozo!$B:$O,12,0)</f>
        <v>0.33</v>
      </c>
      <c r="F164" s="11">
        <f t="shared" si="21"/>
        <v>1.3800000000000001</v>
      </c>
      <c r="G164" s="11">
        <f>IFERROR(VLOOKUP(C:C,CtrlPozo!$B:$O,10,0),"")</f>
        <v>114.05</v>
      </c>
      <c r="H164" s="9" t="s">
        <v>99</v>
      </c>
      <c r="I164" s="9">
        <f>VLOOKUP(H:H,LP!$A:$C,3,0)</f>
        <v>4.38</v>
      </c>
      <c r="J164" s="10" t="s">
        <v>46</v>
      </c>
      <c r="K164" s="10" t="s">
        <v>171</v>
      </c>
      <c r="L164" s="10" t="s">
        <v>87</v>
      </c>
      <c r="M164" s="9" t="s">
        <v>30</v>
      </c>
      <c r="N164" s="34">
        <f>HLOOKUP(VLOOKUP(J164,BCConc!$B:$D,3,0),$D$1:$G$259,ROW(B164),0)</f>
        <v>1.3800000000000001</v>
      </c>
      <c r="O164" s="34"/>
      <c r="P164" s="34"/>
      <c r="Q164" s="34">
        <v>50</v>
      </c>
      <c r="R164" s="58">
        <f t="shared" si="22"/>
        <v>100</v>
      </c>
      <c r="S164" s="58">
        <f t="shared" si="23"/>
        <v>438</v>
      </c>
      <c r="T164" s="58" t="str">
        <f>VLOOKUP(J164,BCConc!$B:$E,4,0)</f>
        <v>DP</v>
      </c>
      <c r="U164" s="58" t="str">
        <f t="shared" si="24"/>
        <v>NCF</v>
      </c>
      <c r="V164" s="58" t="str">
        <f>VLOOKUP(U164,BCConc!$L$1:$M$36,2,0)</f>
        <v>Pozo</v>
      </c>
    </row>
    <row r="165" spans="1:22" ht="15" customHeight="1">
      <c r="A165" s="7" t="s">
        <v>158</v>
      </c>
      <c r="B165" s="21" t="s">
        <v>672</v>
      </c>
      <c r="C165" s="8" t="str">
        <f t="shared" si="28"/>
        <v>NCF-121</v>
      </c>
      <c r="D165" s="8">
        <f>+VLOOKUP(C:C,CtrlPozo!$B:$O,13,0)</f>
        <v>22.51</v>
      </c>
      <c r="E165" s="8">
        <f>+VLOOKUP(C:C,CtrlPozo!$B:$O,12,0)</f>
        <v>19.5</v>
      </c>
      <c r="F165" s="11">
        <f t="shared" si="21"/>
        <v>42.010000000000005</v>
      </c>
      <c r="G165" s="11">
        <f>IFERROR(VLOOKUP(C:C,CtrlPozo!$B:$O,10,0),"")</f>
        <v>1433.1</v>
      </c>
      <c r="H165" s="9" t="s">
        <v>99</v>
      </c>
      <c r="I165" s="9">
        <f>VLOOKUP(H:H,LP!$A:$C,3,0)</f>
        <v>4.38</v>
      </c>
      <c r="J165" s="10" t="s">
        <v>46</v>
      </c>
      <c r="K165" s="10" t="s">
        <v>171</v>
      </c>
      <c r="L165" s="10" t="s">
        <v>87</v>
      </c>
      <c r="M165" s="9" t="s">
        <v>30</v>
      </c>
      <c r="N165" s="34">
        <f>HLOOKUP(VLOOKUP(J165,BCConc!$B:$D,3,0),$D$1:$G$259,ROW(B165),0)</f>
        <v>42.010000000000005</v>
      </c>
      <c r="O165" s="34"/>
      <c r="P165" s="34"/>
      <c r="Q165" s="34">
        <v>50</v>
      </c>
      <c r="R165" s="58">
        <f t="shared" si="22"/>
        <v>100</v>
      </c>
      <c r="S165" s="58">
        <f t="shared" si="23"/>
        <v>438</v>
      </c>
      <c r="T165" s="58" t="str">
        <f>VLOOKUP(J165,BCConc!$B:$E,4,0)</f>
        <v>DP</v>
      </c>
      <c r="U165" s="58" t="str">
        <f t="shared" si="24"/>
        <v>NCF</v>
      </c>
      <c r="V165" s="58" t="str">
        <f>VLOOKUP(U165,BCConc!$L$1:$M$36,2,0)</f>
        <v>Pozo</v>
      </c>
    </row>
    <row r="166" spans="1:22" ht="15" customHeight="1">
      <c r="A166" s="7" t="s">
        <v>158</v>
      </c>
      <c r="B166" s="21" t="s">
        <v>668</v>
      </c>
      <c r="C166" s="8" t="str">
        <f t="shared" si="28"/>
        <v>NCF-122</v>
      </c>
      <c r="D166" s="8">
        <f>+VLOOKUP(C:C,CtrlPozo!$B:$O,13,0)</f>
        <v>5.48</v>
      </c>
      <c r="E166" s="8">
        <f>+VLOOKUP(C:C,CtrlPozo!$B:$O,12,0)</f>
        <v>32.17</v>
      </c>
      <c r="F166" s="11">
        <f t="shared" si="21"/>
        <v>37.650000000000006</v>
      </c>
      <c r="G166" s="11">
        <f>IFERROR(VLOOKUP(C:C,CtrlPozo!$B:$O,10,0),"")</f>
        <v>127</v>
      </c>
      <c r="H166" s="9" t="s">
        <v>99</v>
      </c>
      <c r="I166" s="9">
        <f>VLOOKUP(H:H,LP!$A:$C,3,0)</f>
        <v>4.38</v>
      </c>
      <c r="J166" s="10" t="s">
        <v>12</v>
      </c>
      <c r="K166" s="10" t="s">
        <v>171</v>
      </c>
      <c r="L166" s="10" t="s">
        <v>87</v>
      </c>
      <c r="M166" s="9" t="s">
        <v>30</v>
      </c>
      <c r="N166" s="34">
        <f>HLOOKUP(VLOOKUP(J166,BCConc!$B:$D,3,0),$D$1:$G$259,ROW(B166),0)</f>
        <v>32.17</v>
      </c>
      <c r="O166" s="34"/>
      <c r="P166" s="34"/>
      <c r="Q166" s="34">
        <v>50</v>
      </c>
      <c r="R166" s="58">
        <f t="shared" si="22"/>
        <v>100</v>
      </c>
      <c r="S166" s="58">
        <f t="shared" si="23"/>
        <v>438</v>
      </c>
      <c r="T166" s="58" t="str">
        <f>VLOOKUP(J166,BCConc!$B:$E,4,0)</f>
        <v>IC</v>
      </c>
      <c r="U166" s="58" t="str">
        <f t="shared" si="24"/>
        <v>NCF</v>
      </c>
      <c r="V166" s="58" t="str">
        <f>VLOOKUP(U166,BCConc!$L$1:$M$36,2,0)</f>
        <v>Pozo</v>
      </c>
    </row>
    <row r="167" spans="1:22" ht="15" customHeight="1">
      <c r="A167" s="7" t="s">
        <v>158</v>
      </c>
      <c r="B167" s="21" t="s">
        <v>712</v>
      </c>
      <c r="C167" s="8" t="str">
        <f t="shared" si="28"/>
        <v>NCF-136</v>
      </c>
      <c r="D167" s="8">
        <f>+VLOOKUP(C:C,CtrlPozo!$B:$O,13,0)</f>
        <v>3.99</v>
      </c>
      <c r="E167" s="8">
        <f>+VLOOKUP(C:C,CtrlPozo!$B:$O,12,0)</f>
        <v>1.27</v>
      </c>
      <c r="F167" s="11">
        <f t="shared" si="21"/>
        <v>5.26</v>
      </c>
      <c r="G167" s="11">
        <f>IFERROR(VLOOKUP(C:C,CtrlPozo!$B:$O,10,0),"")</f>
        <v>10</v>
      </c>
      <c r="H167" s="9" t="s">
        <v>99</v>
      </c>
      <c r="I167" s="9">
        <f>VLOOKUP(H:H,LP!$A:$C,3,0)</f>
        <v>4.38</v>
      </c>
      <c r="J167" s="10" t="s">
        <v>46</v>
      </c>
      <c r="K167" s="10" t="s">
        <v>171</v>
      </c>
      <c r="L167" s="10" t="s">
        <v>87</v>
      </c>
      <c r="M167" s="9" t="s">
        <v>30</v>
      </c>
      <c r="N167" s="34">
        <f>HLOOKUP(VLOOKUP(J167,BCConc!$B:$D,3,0),$D$1:$G$259,ROW(B167),0)</f>
        <v>5.26</v>
      </c>
      <c r="O167" s="34"/>
      <c r="P167" s="34"/>
      <c r="Q167" s="34">
        <v>50</v>
      </c>
      <c r="R167" s="58">
        <f t="shared" si="22"/>
        <v>100</v>
      </c>
      <c r="S167" s="58">
        <f t="shared" si="23"/>
        <v>438</v>
      </c>
      <c r="T167" s="58" t="str">
        <f>VLOOKUP(J167,BCConc!$B:$E,4,0)</f>
        <v>DP</v>
      </c>
      <c r="U167" s="58" t="str">
        <f t="shared" si="24"/>
        <v>NCF</v>
      </c>
      <c r="V167" s="58" t="str">
        <f>VLOOKUP(U167,BCConc!$L$1:$M$36,2,0)</f>
        <v>Pozo</v>
      </c>
    </row>
    <row r="168" spans="1:22" ht="15" customHeight="1">
      <c r="A168" s="7" t="s">
        <v>158</v>
      </c>
      <c r="B168" s="21" t="s">
        <v>731</v>
      </c>
      <c r="C168" s="8" t="str">
        <f t="shared" si="28"/>
        <v>NCF-137</v>
      </c>
      <c r="D168" s="8">
        <f>+VLOOKUP(C:C,CtrlPozo!$B:$O,13,0)</f>
        <v>2.71</v>
      </c>
      <c r="E168" s="8">
        <f>+VLOOKUP(C:C,CtrlPozo!$B:$O,12,0)</f>
        <v>2.75</v>
      </c>
      <c r="F168" s="11">
        <f t="shared" si="21"/>
        <v>5.46</v>
      </c>
      <c r="G168" s="11">
        <f>IFERROR(VLOOKUP(C:C,CtrlPozo!$B:$O,10,0),"")</f>
        <v>2474</v>
      </c>
      <c r="H168" s="9" t="s">
        <v>99</v>
      </c>
      <c r="I168" s="9">
        <f>VLOOKUP(H:H,LP!$A:$C,3,0)</f>
        <v>4.38</v>
      </c>
      <c r="J168" s="10" t="s">
        <v>46</v>
      </c>
      <c r="K168" s="10" t="s">
        <v>171</v>
      </c>
      <c r="L168" s="10" t="s">
        <v>87</v>
      </c>
      <c r="M168" s="9" t="s">
        <v>30</v>
      </c>
      <c r="N168" s="34">
        <f>HLOOKUP(VLOOKUP(J168,BCConc!$B:$D,3,0),$D$1:$G$259,ROW(B168),0)</f>
        <v>5.46</v>
      </c>
      <c r="O168" s="34"/>
      <c r="P168" s="34"/>
      <c r="Q168" s="34">
        <v>50</v>
      </c>
      <c r="R168" s="58">
        <f t="shared" si="22"/>
        <v>100</v>
      </c>
      <c r="S168" s="58">
        <f t="shared" si="23"/>
        <v>438</v>
      </c>
      <c r="T168" s="58" t="str">
        <f>VLOOKUP(J168,BCConc!$B:$E,4,0)</f>
        <v>DP</v>
      </c>
      <c r="U168" s="58" t="str">
        <f t="shared" si="24"/>
        <v>NCF</v>
      </c>
      <c r="V168" s="58" t="str">
        <f>VLOOKUP(U168,BCConc!$L$1:$M$36,2,0)</f>
        <v>Pozo</v>
      </c>
    </row>
    <row r="169" spans="1:22" ht="15" customHeight="1">
      <c r="A169" s="7" t="s">
        <v>158</v>
      </c>
      <c r="B169" s="21" t="s">
        <v>1225</v>
      </c>
      <c r="C169" s="8" t="str">
        <f t="shared" si="28"/>
        <v>NCF-141</v>
      </c>
      <c r="D169" s="8">
        <f>D168</f>
        <v>2.71</v>
      </c>
      <c r="E169" s="8">
        <f>E168</f>
        <v>2.75</v>
      </c>
      <c r="F169" s="11">
        <f t="shared" si="21"/>
        <v>5.46</v>
      </c>
      <c r="G169" s="11" t="str">
        <f>IFERROR(VLOOKUP(C:C,CtrlPozo!$B:$O,10,0),"")</f>
        <v/>
      </c>
      <c r="H169" s="9" t="s">
        <v>99</v>
      </c>
      <c r="I169" s="9">
        <f>VLOOKUP(H:H,LP!$A:$C,3,0)</f>
        <v>4.38</v>
      </c>
      <c r="J169" s="10" t="s">
        <v>46</v>
      </c>
      <c r="K169" s="10" t="s">
        <v>171</v>
      </c>
      <c r="L169" s="10" t="s">
        <v>87</v>
      </c>
      <c r="M169" s="9" t="s">
        <v>30</v>
      </c>
      <c r="N169" s="34">
        <f>HLOOKUP(VLOOKUP(J169,BCConc!$B:$D,3,0),$D$1:$G$259,ROW(B169),0)</f>
        <v>5.46</v>
      </c>
      <c r="O169" s="34"/>
      <c r="P169" s="34"/>
      <c r="Q169" s="34">
        <v>50</v>
      </c>
      <c r="R169" s="58">
        <f t="shared" si="22"/>
        <v>100</v>
      </c>
      <c r="S169" s="58">
        <f t="shared" si="23"/>
        <v>438</v>
      </c>
      <c r="T169" s="58" t="str">
        <f>VLOOKUP(J169,BCConc!$B:$E,4,0)</f>
        <v>DP</v>
      </c>
      <c r="U169" s="58" t="str">
        <f t="shared" si="24"/>
        <v>NCF</v>
      </c>
      <c r="V169" s="58" t="str">
        <f>VLOOKUP(U169,BCConc!$L$1:$M$36,2,0)</f>
        <v>Pozo</v>
      </c>
    </row>
    <row r="170" spans="1:22" ht="15" customHeight="1">
      <c r="A170" s="7" t="s">
        <v>158</v>
      </c>
      <c r="B170" s="21" t="s">
        <v>797</v>
      </c>
      <c r="C170" s="8" t="str">
        <f t="shared" si="28"/>
        <v>NCF-166</v>
      </c>
      <c r="D170" s="8">
        <f>+VLOOKUP(C:C,CtrlPozo!$B:$O,13,0)</f>
        <v>2.76</v>
      </c>
      <c r="E170" s="8">
        <f>+VLOOKUP(C:C,CtrlPozo!$B:$O,12,0)</f>
        <v>0.28000000000000003</v>
      </c>
      <c r="F170" s="11">
        <f t="shared" si="21"/>
        <v>3.04</v>
      </c>
      <c r="G170" s="11">
        <f>IFERROR(VLOOKUP(C:C,CtrlPozo!$B:$O,10,0),"")</f>
        <v>3446</v>
      </c>
      <c r="H170" s="9" t="s">
        <v>99</v>
      </c>
      <c r="I170" s="9">
        <f>VLOOKUP(H:H,LP!$A:$C,3,0)</f>
        <v>4.38</v>
      </c>
      <c r="J170" s="10" t="s">
        <v>46</v>
      </c>
      <c r="K170" s="10" t="s">
        <v>171</v>
      </c>
      <c r="L170" s="10" t="s">
        <v>87</v>
      </c>
      <c r="M170" s="9" t="s">
        <v>30</v>
      </c>
      <c r="N170" s="34">
        <f>HLOOKUP(VLOOKUP(J170,BCConc!$B:$D,3,0),$D$1:$G$259,ROW(B170),0)</f>
        <v>3.04</v>
      </c>
      <c r="O170" s="34"/>
      <c r="P170" s="34"/>
      <c r="Q170" s="34">
        <v>50</v>
      </c>
      <c r="R170" s="58">
        <f t="shared" si="22"/>
        <v>100</v>
      </c>
      <c r="S170" s="58">
        <f t="shared" si="23"/>
        <v>438</v>
      </c>
      <c r="T170" s="58" t="str">
        <f>VLOOKUP(J170,BCConc!$B:$E,4,0)</f>
        <v>DP</v>
      </c>
      <c r="U170" s="58" t="str">
        <f t="shared" si="24"/>
        <v>NCF</v>
      </c>
      <c r="V170" s="58" t="str">
        <f>VLOOKUP(U170,BCConc!$L$1:$M$36,2,0)</f>
        <v>Pozo</v>
      </c>
    </row>
    <row r="171" spans="1:22" ht="15" customHeight="1">
      <c r="A171" s="7" t="s">
        <v>158</v>
      </c>
      <c r="B171" s="21" t="s">
        <v>787</v>
      </c>
      <c r="C171" s="8" t="str">
        <f t="shared" si="28"/>
        <v>NCF-169</v>
      </c>
      <c r="D171" s="8">
        <f>+VLOOKUP(C:C,CtrlPozo!$B:$O,13,0)</f>
        <v>6.85</v>
      </c>
      <c r="E171" s="8">
        <f>+VLOOKUP(C:C,CtrlPozo!$B:$O,12,0)</f>
        <v>37.56</v>
      </c>
      <c r="F171" s="11">
        <f t="shared" si="21"/>
        <v>44.410000000000004</v>
      </c>
      <c r="G171" s="11">
        <f>IFERROR(VLOOKUP(C:C,CtrlPozo!$B:$O,10,0),"")</f>
        <v>133</v>
      </c>
      <c r="H171" s="9" t="s">
        <v>98</v>
      </c>
      <c r="I171" s="9">
        <f>VLOOKUP(H:H,LP!$A:$C,3,0)</f>
        <v>6.94</v>
      </c>
      <c r="J171" s="10" t="s">
        <v>10</v>
      </c>
      <c r="K171" s="10" t="s">
        <v>171</v>
      </c>
      <c r="L171" s="10" t="s">
        <v>86</v>
      </c>
      <c r="M171" s="9" t="s">
        <v>30</v>
      </c>
      <c r="N171" s="34"/>
      <c r="O171" s="34"/>
      <c r="P171" s="34"/>
      <c r="Q171" s="34">
        <v>50</v>
      </c>
      <c r="R171" s="58">
        <f t="shared" si="22"/>
        <v>200</v>
      </c>
      <c r="S171" s="58">
        <f t="shared" si="23"/>
        <v>1388</v>
      </c>
      <c r="T171" s="58" t="str">
        <f>VLOOKUP(J171,BCConc!$B:$E,4,0)</f>
        <v>BX</v>
      </c>
      <c r="U171" s="58" t="str">
        <f t="shared" si="24"/>
        <v>NCF</v>
      </c>
      <c r="V171" s="58" t="str">
        <f>VLOOKUP(U171,BCConc!$L$1:$M$36,2,0)</f>
        <v>Pozo</v>
      </c>
    </row>
    <row r="172" spans="1:22" ht="15" customHeight="1">
      <c r="A172" s="7" t="s">
        <v>158</v>
      </c>
      <c r="B172" s="21" t="s">
        <v>787</v>
      </c>
      <c r="C172" s="8" t="str">
        <f t="shared" si="28"/>
        <v>NCF-169</v>
      </c>
      <c r="D172" s="8">
        <f>+VLOOKUP(C:C,CtrlPozo!$B:$O,13,0)</f>
        <v>6.85</v>
      </c>
      <c r="E172" s="8">
        <f>+VLOOKUP(C:C,CtrlPozo!$B:$O,12,0)</f>
        <v>37.56</v>
      </c>
      <c r="F172" s="11">
        <f t="shared" si="21"/>
        <v>44.410000000000004</v>
      </c>
      <c r="G172" s="11">
        <f>IFERROR(VLOOKUP(C:C,CtrlPozo!$B:$O,10,0),"")</f>
        <v>133</v>
      </c>
      <c r="H172" s="9" t="s">
        <v>88</v>
      </c>
      <c r="I172" s="9">
        <f>VLOOKUP(H:H,LP!$A:$C,3,0)</f>
        <v>2.66</v>
      </c>
      <c r="J172" s="10" t="s">
        <v>19</v>
      </c>
      <c r="K172" s="10" t="s">
        <v>171</v>
      </c>
      <c r="L172" s="10" t="s">
        <v>86</v>
      </c>
      <c r="M172" s="9" t="s">
        <v>30</v>
      </c>
      <c r="N172" s="34">
        <f>HLOOKUP(VLOOKUP(J172,BCConc!$B:$D,3,0),$D$1:$G$259,ROW(B172),0)</f>
        <v>37.56</v>
      </c>
      <c r="O172" s="34"/>
      <c r="P172" s="34"/>
      <c r="Q172" s="34">
        <v>50</v>
      </c>
      <c r="R172" s="58">
        <f t="shared" si="22"/>
        <v>200</v>
      </c>
      <c r="S172" s="58">
        <f t="shared" si="23"/>
        <v>532</v>
      </c>
      <c r="T172" s="58" t="str">
        <f>VLOOKUP(J172,BCConc!$B:$E,4,0)</f>
        <v>CY</v>
      </c>
      <c r="U172" s="58" t="str">
        <f t="shared" si="24"/>
        <v>NCF</v>
      </c>
      <c r="V172" s="58" t="str">
        <f>VLOOKUP(U172,BCConc!$L$1:$M$36,2,0)</f>
        <v>Pozo</v>
      </c>
    </row>
    <row r="173" spans="1:22" ht="15" customHeight="1">
      <c r="A173" s="7" t="s">
        <v>158</v>
      </c>
      <c r="B173" s="21" t="s">
        <v>812</v>
      </c>
      <c r="C173" s="8" t="str">
        <f t="shared" si="28"/>
        <v>NCF-171</v>
      </c>
      <c r="D173" s="8">
        <f>+VLOOKUP(C:C,CtrlPozo!$B:$O,13,0)</f>
        <v>4.87</v>
      </c>
      <c r="E173" s="8">
        <f>+VLOOKUP(C:C,CtrlPozo!$B:$O,12,0)</f>
        <v>0.49</v>
      </c>
      <c r="F173" s="11">
        <f t="shared" si="21"/>
        <v>5.36</v>
      </c>
      <c r="G173" s="11">
        <f>IFERROR(VLOOKUP(C:C,CtrlPozo!$B:$O,10,0),"")</f>
        <v>5696.4</v>
      </c>
      <c r="H173" s="9" t="s">
        <v>99</v>
      </c>
      <c r="I173" s="9">
        <f>VLOOKUP(H:H,LP!$A:$C,3,0)</f>
        <v>4.38</v>
      </c>
      <c r="J173" s="10" t="s">
        <v>46</v>
      </c>
      <c r="K173" s="10" t="s">
        <v>171</v>
      </c>
      <c r="L173" s="10" t="s">
        <v>87</v>
      </c>
      <c r="M173" s="9" t="s">
        <v>30</v>
      </c>
      <c r="N173" s="34">
        <f>HLOOKUP(VLOOKUP(J173,BCConc!$B:$D,3,0),$D$1:$G$259,ROW(B173),0)</f>
        <v>5.36</v>
      </c>
      <c r="O173" s="34"/>
      <c r="P173" s="34"/>
      <c r="Q173" s="34">
        <v>50</v>
      </c>
      <c r="R173" s="58">
        <f t="shared" si="22"/>
        <v>100</v>
      </c>
      <c r="S173" s="58">
        <f t="shared" si="23"/>
        <v>438</v>
      </c>
      <c r="T173" s="58" t="str">
        <f>VLOOKUP(J173,BCConc!$B:$E,4,0)</f>
        <v>DP</v>
      </c>
      <c r="U173" s="58" t="str">
        <f t="shared" si="24"/>
        <v>NCF</v>
      </c>
      <c r="V173" s="58" t="str">
        <f>VLOOKUP(U173,BCConc!$L$1:$M$36,2,0)</f>
        <v>Pozo</v>
      </c>
    </row>
    <row r="174" spans="1:22" ht="15" customHeight="1">
      <c r="A174" s="7" t="s">
        <v>158</v>
      </c>
      <c r="B174" s="21" t="s">
        <v>832</v>
      </c>
      <c r="C174" s="8" t="str">
        <f t="shared" si="28"/>
        <v>NCF-174</v>
      </c>
      <c r="D174" s="8">
        <f>+VLOOKUP(C:C,CtrlPozo!$B:$O,13,0)</f>
        <v>6.06</v>
      </c>
      <c r="E174" s="8">
        <f>+VLOOKUP(C:C,CtrlPozo!$B:$O,12,0)</f>
        <v>22.24</v>
      </c>
      <c r="F174" s="11">
        <f t="shared" si="21"/>
        <v>28.299999999999997</v>
      </c>
      <c r="G174" s="11">
        <f>IFERROR(VLOOKUP(C:C,CtrlPozo!$B:$O,10,0),"")</f>
        <v>121</v>
      </c>
      <c r="H174" s="9" t="s">
        <v>99</v>
      </c>
      <c r="I174" s="9">
        <f>VLOOKUP(H:H,LP!$A:$C,3,0)</f>
        <v>4.38</v>
      </c>
      <c r="J174" s="10" t="s">
        <v>46</v>
      </c>
      <c r="K174" s="10" t="s">
        <v>171</v>
      </c>
      <c r="L174" s="10" t="s">
        <v>87</v>
      </c>
      <c r="M174" s="9" t="s">
        <v>30</v>
      </c>
      <c r="N174" s="34">
        <f>HLOOKUP(VLOOKUP(J174,BCConc!$B:$D,3,0),$D$1:$G$259,ROW(B174),0)</f>
        <v>28.299999999999997</v>
      </c>
      <c r="O174" s="34"/>
      <c r="P174" s="34"/>
      <c r="Q174" s="34">
        <v>50</v>
      </c>
      <c r="R174" s="58">
        <f t="shared" si="22"/>
        <v>100</v>
      </c>
      <c r="S174" s="58">
        <f t="shared" si="23"/>
        <v>438</v>
      </c>
      <c r="T174" s="58" t="str">
        <f>VLOOKUP(J174,BCConc!$B:$E,4,0)</f>
        <v>DP</v>
      </c>
      <c r="U174" s="58" t="str">
        <f t="shared" si="24"/>
        <v>NCF</v>
      </c>
      <c r="V174" s="58" t="str">
        <f>VLOOKUP(U174,BCConc!$L$1:$M$36,2,0)</f>
        <v>Pozo</v>
      </c>
    </row>
    <row r="175" spans="1:22" ht="15" customHeight="1">
      <c r="A175" s="7" t="s">
        <v>158</v>
      </c>
      <c r="B175" s="21" t="s">
        <v>852</v>
      </c>
      <c r="C175" s="8" t="str">
        <f t="shared" si="28"/>
        <v>NCF-187</v>
      </c>
      <c r="D175" s="8">
        <f>+VLOOKUP(C:C,CtrlPozo!$B:$O,13,0)</f>
        <v>4.12</v>
      </c>
      <c r="E175" s="8">
        <f>+VLOOKUP(C:C,CtrlPozo!$B:$O,12,0)</f>
        <v>18.579999999999998</v>
      </c>
      <c r="F175" s="11">
        <f t="shared" si="21"/>
        <v>22.7</v>
      </c>
      <c r="G175" s="11">
        <f>IFERROR(VLOOKUP(C:C,CtrlPozo!$B:$O,10,0),"")</f>
        <v>151</v>
      </c>
      <c r="H175" s="9" t="s">
        <v>99</v>
      </c>
      <c r="I175" s="9">
        <f>VLOOKUP(H:H,LP!$A:$C,3,0)</f>
        <v>4.38</v>
      </c>
      <c r="J175" s="10" t="s">
        <v>46</v>
      </c>
      <c r="K175" s="10" t="s">
        <v>171</v>
      </c>
      <c r="L175" s="10" t="s">
        <v>87</v>
      </c>
      <c r="M175" s="9" t="s">
        <v>30</v>
      </c>
      <c r="N175" s="34">
        <f>HLOOKUP(VLOOKUP(J175,BCConc!$B:$D,3,0),$D$1:$G$259,ROW(B175),0)</f>
        <v>22.7</v>
      </c>
      <c r="O175" s="34"/>
      <c r="P175" s="34"/>
      <c r="Q175" s="34">
        <v>50</v>
      </c>
      <c r="R175" s="58">
        <f t="shared" si="22"/>
        <v>100</v>
      </c>
      <c r="S175" s="58">
        <f t="shared" si="23"/>
        <v>438</v>
      </c>
      <c r="T175" s="58" t="str">
        <f>VLOOKUP(J175,BCConc!$B:$E,4,0)</f>
        <v>DP</v>
      </c>
      <c r="U175" s="58" t="str">
        <f t="shared" si="24"/>
        <v>NCF</v>
      </c>
      <c r="V175" s="58" t="str">
        <f>VLOOKUP(U175,BCConc!$L$1:$M$36,2,0)</f>
        <v>Pozo</v>
      </c>
    </row>
    <row r="176" spans="1:22" ht="15" customHeight="1">
      <c r="A176" s="7" t="s">
        <v>158</v>
      </c>
      <c r="B176" s="21" t="s">
        <v>936</v>
      </c>
      <c r="C176" s="8" t="str">
        <f t="shared" si="28"/>
        <v>NCF-201</v>
      </c>
      <c r="D176" s="8">
        <f>+VLOOKUP(C:C,CtrlPozo!$B:$O,13,0)</f>
        <v>5.44</v>
      </c>
      <c r="E176" s="8">
        <f>+VLOOKUP(C:C,CtrlPozo!$B:$O,12,0)</f>
        <v>0.75</v>
      </c>
      <c r="F176" s="11">
        <f t="shared" si="21"/>
        <v>6.19</v>
      </c>
      <c r="G176" s="11">
        <f>IFERROR(VLOOKUP(C:C,CtrlPozo!$B:$O,10,0),"")</f>
        <v>283</v>
      </c>
      <c r="H176" s="9" t="s">
        <v>99</v>
      </c>
      <c r="I176" s="9">
        <f>VLOOKUP(H:H,LP!$A:$C,3,0)</f>
        <v>4.38</v>
      </c>
      <c r="J176" s="10" t="s">
        <v>46</v>
      </c>
      <c r="K176" s="10" t="s">
        <v>171</v>
      </c>
      <c r="L176" s="10" t="s">
        <v>87</v>
      </c>
      <c r="M176" s="9" t="s">
        <v>30</v>
      </c>
      <c r="N176" s="34">
        <f>HLOOKUP(VLOOKUP(J176,BCConc!$B:$D,3,0),$D$1:$G$259,ROW(B176),0)</f>
        <v>6.19</v>
      </c>
      <c r="O176" s="34"/>
      <c r="P176" s="34"/>
      <c r="Q176" s="34">
        <v>50</v>
      </c>
      <c r="R176" s="58">
        <f t="shared" si="22"/>
        <v>100</v>
      </c>
      <c r="S176" s="58">
        <f t="shared" si="23"/>
        <v>438</v>
      </c>
      <c r="T176" s="58" t="str">
        <f>VLOOKUP(J176,BCConc!$B:$E,4,0)</f>
        <v>DP</v>
      </c>
      <c r="U176" s="58" t="str">
        <f t="shared" si="24"/>
        <v>NCF</v>
      </c>
      <c r="V176" s="58" t="str">
        <f>VLOOKUP(U176,BCConc!$L$1:$M$36,2,0)</f>
        <v>Pozo</v>
      </c>
    </row>
    <row r="177" spans="1:22" ht="15" customHeight="1">
      <c r="A177" s="7" t="s">
        <v>158</v>
      </c>
      <c r="B177" s="21" t="s">
        <v>951</v>
      </c>
      <c r="C177" s="8" t="str">
        <f t="shared" si="28"/>
        <v>NCF-207</v>
      </c>
      <c r="D177" s="8">
        <f>+VLOOKUP(C:C,CtrlPozo!$B:$O,13,0)</f>
        <v>3.63</v>
      </c>
      <c r="E177" s="8">
        <f>+VLOOKUP(C:C,CtrlPozo!$B:$O,12,0)</f>
        <v>0.7</v>
      </c>
      <c r="F177" s="11">
        <f t="shared" si="21"/>
        <v>4.33</v>
      </c>
      <c r="G177" s="11">
        <f>IFERROR(VLOOKUP(C:C,CtrlPozo!$B:$O,10,0),"")</f>
        <v>359</v>
      </c>
      <c r="H177" s="9" t="s">
        <v>99</v>
      </c>
      <c r="I177" s="9">
        <f>VLOOKUP(H:H,LP!$A:$C,3,0)</f>
        <v>4.38</v>
      </c>
      <c r="J177" s="10" t="s">
        <v>46</v>
      </c>
      <c r="K177" s="10" t="s">
        <v>171</v>
      </c>
      <c r="L177" s="10" t="s">
        <v>87</v>
      </c>
      <c r="M177" s="9" t="s">
        <v>30</v>
      </c>
      <c r="N177" s="34">
        <f>HLOOKUP(VLOOKUP(J177,BCConc!$B:$D,3,0),$D$1:$G$259,ROW(B177),0)</f>
        <v>4.33</v>
      </c>
      <c r="O177" s="34"/>
      <c r="P177" s="34"/>
      <c r="Q177" s="34">
        <v>50</v>
      </c>
      <c r="R177" s="58">
        <f t="shared" si="22"/>
        <v>100</v>
      </c>
      <c r="S177" s="58">
        <f t="shared" si="23"/>
        <v>438</v>
      </c>
      <c r="T177" s="58" t="str">
        <f>VLOOKUP(J177,BCConc!$B:$E,4,0)</f>
        <v>DP</v>
      </c>
      <c r="U177" s="58" t="str">
        <f t="shared" si="24"/>
        <v>NCF</v>
      </c>
      <c r="V177" s="58" t="str">
        <f>VLOOKUP(U177,BCConc!$L$1:$M$36,2,0)</f>
        <v>Pozo</v>
      </c>
    </row>
    <row r="178" spans="1:22" ht="15" customHeight="1">
      <c r="A178" s="7" t="s">
        <v>158</v>
      </c>
      <c r="B178" s="21" t="s">
        <v>986</v>
      </c>
      <c r="C178" s="8" t="str">
        <f t="shared" si="28"/>
        <v>CF-215(d)</v>
      </c>
      <c r="D178" s="8">
        <f>+VLOOKUP(C:C,CtrlPozo!$B:$O,13,0)</f>
        <v>3.2</v>
      </c>
      <c r="E178" s="8">
        <f>+VLOOKUP(C:C,CtrlPozo!$B:$O,12,0)</f>
        <v>5.36</v>
      </c>
      <c r="F178" s="11">
        <f t="shared" si="21"/>
        <v>8.56</v>
      </c>
      <c r="G178" s="11">
        <f>IFERROR(VLOOKUP(C:C,CtrlPozo!$B:$O,10,0),"")</f>
        <v>1188</v>
      </c>
      <c r="H178" s="9" t="s">
        <v>99</v>
      </c>
      <c r="I178" s="9">
        <f>VLOOKUP(H:H,LP!$A:$C,3,0)</f>
        <v>4.38</v>
      </c>
      <c r="J178" s="10" t="s">
        <v>46</v>
      </c>
      <c r="K178" s="10" t="s">
        <v>171</v>
      </c>
      <c r="L178" s="10" t="s">
        <v>87</v>
      </c>
      <c r="M178" s="9" t="s">
        <v>30</v>
      </c>
      <c r="N178" s="34">
        <f>HLOOKUP(VLOOKUP(J178,BCConc!$B:$D,3,0),$D$1:$G$259,ROW(B178),0)</f>
        <v>8.56</v>
      </c>
      <c r="O178" s="34"/>
      <c r="P178" s="34"/>
      <c r="Q178" s="34">
        <v>50</v>
      </c>
      <c r="R178" s="58">
        <f t="shared" si="22"/>
        <v>100</v>
      </c>
      <c r="S178" s="58">
        <f t="shared" si="23"/>
        <v>438</v>
      </c>
      <c r="T178" s="58" t="str">
        <f>VLOOKUP(J178,BCConc!$B:$E,4,0)</f>
        <v>DP</v>
      </c>
      <c r="U178" s="58" t="str">
        <f t="shared" si="24"/>
        <v>CF-</v>
      </c>
      <c r="V178" s="58" t="str">
        <f>VLOOKUP(U178,BCConc!$L$1:$M$36,2,0)</f>
        <v>Pozo</v>
      </c>
    </row>
    <row r="179" spans="1:22" ht="15" customHeight="1">
      <c r="A179" s="7" t="s">
        <v>158</v>
      </c>
      <c r="B179" s="21" t="s">
        <v>965</v>
      </c>
      <c r="C179" s="8" t="str">
        <f t="shared" si="28"/>
        <v>NCF-216</v>
      </c>
      <c r="D179" s="8">
        <f>+VLOOKUP(C:C,CtrlPozo!$B:$O,13,0)</f>
        <v>16.420000000000002</v>
      </c>
      <c r="E179" s="8">
        <f>+VLOOKUP(C:C,CtrlPozo!$B:$O,12,0)</f>
        <v>10.199999999999999</v>
      </c>
      <c r="F179" s="11">
        <f t="shared" si="21"/>
        <v>26.62</v>
      </c>
      <c r="G179" s="11">
        <f>IFERROR(VLOOKUP(C:C,CtrlPozo!$B:$O,10,0),"")</f>
        <v>6100</v>
      </c>
      <c r="H179" s="9" t="s">
        <v>99</v>
      </c>
      <c r="I179" s="9">
        <f>VLOOKUP(H:H,LP!$A:$C,3,0)</f>
        <v>4.38</v>
      </c>
      <c r="J179" s="10" t="s">
        <v>46</v>
      </c>
      <c r="K179" s="10" t="s">
        <v>171</v>
      </c>
      <c r="L179" s="10" t="s">
        <v>87</v>
      </c>
      <c r="M179" s="9" t="s">
        <v>30</v>
      </c>
      <c r="N179" s="34">
        <f>HLOOKUP(VLOOKUP(J179,BCConc!$B:$D,3,0),$D$1:$G$259,ROW(B179),0)</f>
        <v>26.62</v>
      </c>
      <c r="O179" s="34"/>
      <c r="P179" s="34"/>
      <c r="Q179" s="34">
        <v>50</v>
      </c>
      <c r="R179" s="58">
        <f t="shared" si="22"/>
        <v>100</v>
      </c>
      <c r="S179" s="58">
        <f t="shared" si="23"/>
        <v>438</v>
      </c>
      <c r="T179" s="58" t="str">
        <f>VLOOKUP(J179,BCConc!$B:$E,4,0)</f>
        <v>DP</v>
      </c>
      <c r="U179" s="58" t="str">
        <f t="shared" si="24"/>
        <v>NCF</v>
      </c>
      <c r="V179" s="58" t="str">
        <f>VLOOKUP(U179,BCConc!$L$1:$M$36,2,0)</f>
        <v>Pozo</v>
      </c>
    </row>
    <row r="180" spans="1:22" ht="15" customHeight="1">
      <c r="A180" s="7" t="s">
        <v>158</v>
      </c>
      <c r="B180" s="21" t="s">
        <v>1104</v>
      </c>
      <c r="C180" s="8" t="str">
        <f t="shared" si="28"/>
        <v>CF-221(d)(I)</v>
      </c>
      <c r="D180" s="8">
        <f>+VLOOKUP(C:C,CtrlPozo!$B:$O,13,0)</f>
        <v>12.08</v>
      </c>
      <c r="E180" s="8">
        <f>+VLOOKUP(C:C,CtrlPozo!$B:$O,12,0)</f>
        <v>40.76</v>
      </c>
      <c r="F180" s="11">
        <f t="shared" si="21"/>
        <v>52.839999999999996</v>
      </c>
      <c r="G180" s="11">
        <f>IFERROR(VLOOKUP(C:C,CtrlPozo!$B:$O,10,0),"")</f>
        <v>870</v>
      </c>
      <c r="H180" s="9" t="s">
        <v>99</v>
      </c>
      <c r="I180" s="9">
        <f>VLOOKUP(H:H,LP!$A:$C,3,0)</f>
        <v>4.38</v>
      </c>
      <c r="J180" s="10" t="s">
        <v>46</v>
      </c>
      <c r="K180" s="10" t="s">
        <v>171</v>
      </c>
      <c r="L180" s="10" t="s">
        <v>87</v>
      </c>
      <c r="M180" s="9" t="s">
        <v>30</v>
      </c>
      <c r="N180" s="34">
        <f>HLOOKUP(VLOOKUP(J180,BCConc!$B:$D,3,0),$D$1:$G$259,ROW(B180),0)</f>
        <v>52.839999999999996</v>
      </c>
      <c r="O180" s="34"/>
      <c r="P180" s="34"/>
      <c r="Q180" s="34">
        <v>50</v>
      </c>
      <c r="R180" s="58">
        <f t="shared" si="22"/>
        <v>100</v>
      </c>
      <c r="S180" s="58">
        <f t="shared" si="23"/>
        <v>438</v>
      </c>
      <c r="T180" s="58" t="str">
        <f>VLOOKUP(J180,BCConc!$B:$E,4,0)</f>
        <v>DP</v>
      </c>
      <c r="U180" s="58" t="str">
        <f t="shared" si="24"/>
        <v>CF-</v>
      </c>
      <c r="V180" s="58" t="str">
        <f>VLOOKUP(U180,BCConc!$L$1:$M$36,2,0)</f>
        <v>Pozo</v>
      </c>
    </row>
    <row r="181" spans="1:22" ht="15" customHeight="1">
      <c r="A181" s="7" t="s">
        <v>158</v>
      </c>
      <c r="B181" s="21" t="s">
        <v>967</v>
      </c>
      <c r="C181" s="8" t="str">
        <f t="shared" si="28"/>
        <v>NCF-224</v>
      </c>
      <c r="D181" s="8">
        <f>+VLOOKUP(C:C,CtrlPozo!$B:$O,13,0)</f>
        <v>12.08</v>
      </c>
      <c r="E181" s="8">
        <f>+VLOOKUP(C:C,CtrlPozo!$B:$O,12,0)</f>
        <v>4.76</v>
      </c>
      <c r="F181" s="11">
        <f t="shared" si="21"/>
        <v>16.84</v>
      </c>
      <c r="G181" s="11">
        <f>IFERROR(VLOOKUP(C:C,CtrlPozo!$B:$O,10,0),"")</f>
        <v>2193.31</v>
      </c>
      <c r="H181" s="9" t="s">
        <v>99</v>
      </c>
      <c r="I181" s="9">
        <f>VLOOKUP(H:H,LP!$A:$C,3,0)</f>
        <v>4.38</v>
      </c>
      <c r="J181" s="10" t="s">
        <v>46</v>
      </c>
      <c r="K181" s="10" t="s">
        <v>171</v>
      </c>
      <c r="L181" s="10" t="s">
        <v>87</v>
      </c>
      <c r="M181" s="9" t="s">
        <v>30</v>
      </c>
      <c r="N181" s="34">
        <f>HLOOKUP(VLOOKUP(J181,BCConc!$B:$D,3,0),$D$1:$G$259,ROW(B181),0)</f>
        <v>16.84</v>
      </c>
      <c r="O181" s="34"/>
      <c r="P181" s="34"/>
      <c r="Q181" s="34">
        <v>50</v>
      </c>
      <c r="R181" s="58">
        <f t="shared" si="22"/>
        <v>100</v>
      </c>
      <c r="S181" s="58">
        <f t="shared" si="23"/>
        <v>438</v>
      </c>
      <c r="T181" s="58" t="str">
        <f>VLOOKUP(J181,BCConc!$B:$E,4,0)</f>
        <v>DP</v>
      </c>
      <c r="U181" s="58" t="str">
        <f t="shared" si="24"/>
        <v>NCF</v>
      </c>
      <c r="V181" s="58" t="str">
        <f>VLOOKUP(U181,BCConc!$L$1:$M$36,2,0)</f>
        <v>Pozo</v>
      </c>
    </row>
    <row r="182" spans="1:22" ht="15" customHeight="1">
      <c r="A182" s="22" t="s">
        <v>160</v>
      </c>
      <c r="B182" s="21" t="s">
        <v>722</v>
      </c>
      <c r="C182" s="18" t="str">
        <f t="shared" ref="C182:C193" si="29">B182</f>
        <v>NLAS-63</v>
      </c>
      <c r="D182" s="8">
        <f>+VLOOKUP(C:C,CtrlPozo!$B:$O,13,0)</f>
        <v>2.3199999999999998</v>
      </c>
      <c r="E182" s="8">
        <f>+VLOOKUP(C:C,CtrlPozo!$B:$O,12,0)</f>
        <v>166.63</v>
      </c>
      <c r="F182" s="11">
        <f t="shared" si="21"/>
        <v>168.95</v>
      </c>
      <c r="G182" s="11">
        <f>IFERROR(VLOOKUP(C:C,CtrlPozo!$B:$O,10,0),"")</f>
        <v>6</v>
      </c>
      <c r="H182" s="9" t="s">
        <v>88</v>
      </c>
      <c r="I182" s="9">
        <f>VLOOKUP(H:H,LP!$A:$C,3,0)</f>
        <v>2.66</v>
      </c>
      <c r="J182" s="10" t="s">
        <v>19</v>
      </c>
      <c r="K182" s="10" t="s">
        <v>171</v>
      </c>
      <c r="L182" s="10" t="s">
        <v>86</v>
      </c>
      <c r="M182" s="9" t="s">
        <v>30</v>
      </c>
      <c r="N182" s="34">
        <f>HLOOKUP(VLOOKUP(J182,BCConc!$B:$D,3,0),$D$1:$G$259,ROW(B182),0)</f>
        <v>166.63</v>
      </c>
      <c r="O182" s="34"/>
      <c r="P182" s="34"/>
      <c r="Q182" s="34">
        <v>50</v>
      </c>
      <c r="R182" s="58">
        <f t="shared" si="22"/>
        <v>200</v>
      </c>
      <c r="S182" s="58">
        <f t="shared" si="23"/>
        <v>532</v>
      </c>
      <c r="T182" s="58" t="str">
        <f>VLOOKUP(J182,BCConc!$B:$E,4,0)</f>
        <v>CY</v>
      </c>
      <c r="U182" s="58" t="str">
        <f t="shared" si="24"/>
        <v>NLA</v>
      </c>
      <c r="V182" s="58" t="str">
        <f>VLOOKUP(U182,BCConc!$L$1:$M$36,2,0)</f>
        <v>Pozo</v>
      </c>
    </row>
    <row r="183" spans="1:22" ht="15" customHeight="1">
      <c r="A183" s="22" t="s">
        <v>160</v>
      </c>
      <c r="B183" s="21" t="s">
        <v>722</v>
      </c>
      <c r="C183" s="18" t="str">
        <f t="shared" si="29"/>
        <v>NLAS-63</v>
      </c>
      <c r="D183" s="8">
        <f>+VLOOKUP(C:C,CtrlPozo!$B:$O,13,0)</f>
        <v>2.3199999999999998</v>
      </c>
      <c r="E183" s="8">
        <f>+VLOOKUP(C:C,CtrlPozo!$B:$O,12,0)</f>
        <v>166.63</v>
      </c>
      <c r="F183" s="11">
        <f t="shared" si="21"/>
        <v>168.95</v>
      </c>
      <c r="G183" s="11">
        <f>IFERROR(VLOOKUP(C:C,CtrlPozo!$B:$O,10,0),"")</f>
        <v>6</v>
      </c>
      <c r="H183" s="9" t="s">
        <v>98</v>
      </c>
      <c r="I183" s="9">
        <f>VLOOKUP(H:H,LP!$A:$C,3,0)</f>
        <v>6.94</v>
      </c>
      <c r="J183" s="10" t="s">
        <v>10</v>
      </c>
      <c r="K183" s="10" t="s">
        <v>171</v>
      </c>
      <c r="L183" s="10" t="s">
        <v>86</v>
      </c>
      <c r="M183" s="9" t="s">
        <v>30</v>
      </c>
      <c r="N183" s="34"/>
      <c r="O183" s="34"/>
      <c r="P183" s="34"/>
      <c r="Q183" s="34">
        <v>50</v>
      </c>
      <c r="R183" s="58">
        <f t="shared" si="22"/>
        <v>200</v>
      </c>
      <c r="S183" s="58">
        <f t="shared" si="23"/>
        <v>1388</v>
      </c>
      <c r="T183" s="58" t="str">
        <f>VLOOKUP(J183,BCConc!$B:$E,4,0)</f>
        <v>BX</v>
      </c>
      <c r="U183" s="58" t="str">
        <f t="shared" si="24"/>
        <v>NLA</v>
      </c>
      <c r="V183" s="58" t="str">
        <f>VLOOKUP(U183,BCConc!$L$1:$M$36,2,0)</f>
        <v>Pozo</v>
      </c>
    </row>
    <row r="184" spans="1:22" ht="15" customHeight="1">
      <c r="A184" s="17" t="s">
        <v>161</v>
      </c>
      <c r="B184" s="21" t="s">
        <v>486</v>
      </c>
      <c r="C184" s="18" t="str">
        <f t="shared" si="29"/>
        <v>NLCa-26</v>
      </c>
      <c r="D184" s="8">
        <f>+VLOOKUP(C:C,CtrlPozo!$B:$O,13,0)</f>
        <v>1.8</v>
      </c>
      <c r="E184" s="8">
        <f>+VLOOKUP(C:C,CtrlPozo!$B:$O,12,0)</f>
        <v>18.79</v>
      </c>
      <c r="F184" s="11">
        <f t="shared" si="21"/>
        <v>20.59</v>
      </c>
      <c r="G184" s="11">
        <f>IFERROR(VLOOKUP(C:C,CtrlPozo!$B:$O,10,0),"")</f>
        <v>2055</v>
      </c>
      <c r="H184" s="9" t="s">
        <v>88</v>
      </c>
      <c r="I184" s="9">
        <f>VLOOKUP(H:H,LP!$A:$C,3,0)</f>
        <v>2.66</v>
      </c>
      <c r="J184" s="10" t="s">
        <v>19</v>
      </c>
      <c r="K184" s="10" t="s">
        <v>171</v>
      </c>
      <c r="L184" s="10" t="s">
        <v>86</v>
      </c>
      <c r="M184" s="9" t="s">
        <v>30</v>
      </c>
      <c r="N184" s="34">
        <f>HLOOKUP(VLOOKUP(J184,BCConc!$B:$D,3,0),$D$1:$G$259,ROW(B184),0)</f>
        <v>18.79</v>
      </c>
      <c r="O184" s="34"/>
      <c r="P184" s="34"/>
      <c r="Q184" s="34">
        <v>50</v>
      </c>
      <c r="R184" s="58">
        <f t="shared" si="22"/>
        <v>200</v>
      </c>
      <c r="S184" s="58">
        <f t="shared" si="23"/>
        <v>532</v>
      </c>
      <c r="T184" s="58" t="str">
        <f>VLOOKUP(J184,BCConc!$B:$E,4,0)</f>
        <v>CY</v>
      </c>
      <c r="U184" s="58" t="str">
        <f t="shared" si="24"/>
        <v>NLC</v>
      </c>
      <c r="V184" s="58" t="str">
        <f>VLOOKUP(U184,BCConc!$L$1:$M$36,2,0)</f>
        <v>Pozo</v>
      </c>
    </row>
    <row r="185" spans="1:22" ht="15" customHeight="1">
      <c r="A185" s="26" t="s">
        <v>162</v>
      </c>
      <c r="B185" s="21" t="s">
        <v>842</v>
      </c>
      <c r="C185" s="18" t="str">
        <f t="shared" si="29"/>
        <v>NLDM-20</v>
      </c>
      <c r="D185" s="8">
        <f>+VLOOKUP(C:C,CtrlPozo!$B:$O,13,0)</f>
        <v>0.01</v>
      </c>
      <c r="E185" s="8">
        <f>+VLOOKUP(C:C,CtrlPozo!$B:$O,12,0)</f>
        <v>0.09</v>
      </c>
      <c r="F185" s="11">
        <f t="shared" si="21"/>
        <v>9.9999999999999992E-2</v>
      </c>
      <c r="G185" s="11">
        <f>IFERROR(VLOOKUP(C:C,CtrlPozo!$B:$O,10,0),"")</f>
        <v>0</v>
      </c>
      <c r="H185" s="9" t="s">
        <v>97</v>
      </c>
      <c r="I185" s="9">
        <f>VLOOKUP(H:H,LP!$A:$C,3,0)</f>
        <v>2.19</v>
      </c>
      <c r="J185" s="10" t="s">
        <v>12</v>
      </c>
      <c r="K185" s="10" t="s">
        <v>171</v>
      </c>
      <c r="L185" s="10" t="s">
        <v>86</v>
      </c>
      <c r="M185" s="9" t="s">
        <v>30</v>
      </c>
      <c r="N185" s="34">
        <f>HLOOKUP(VLOOKUP(J185,BCConc!$B:$D,3,0),$D$1:$G$259,ROW(B185),0)</f>
        <v>0.09</v>
      </c>
      <c r="O185" s="34"/>
      <c r="P185" s="34"/>
      <c r="Q185" s="34">
        <v>50</v>
      </c>
      <c r="R185" s="58">
        <f t="shared" si="22"/>
        <v>200</v>
      </c>
      <c r="S185" s="58">
        <f t="shared" si="23"/>
        <v>438</v>
      </c>
      <c r="T185" s="58" t="str">
        <f>VLOOKUP(J185,BCConc!$B:$E,4,0)</f>
        <v>IC</v>
      </c>
      <c r="U185" s="58" t="str">
        <f t="shared" si="24"/>
        <v>NLD</v>
      </c>
      <c r="V185" s="58" t="str">
        <f>VLOOKUP(U185,BCConc!$L$1:$M$36,2,0)</f>
        <v>Pozo</v>
      </c>
    </row>
    <row r="186" spans="1:22" ht="15" customHeight="1">
      <c r="A186" s="26" t="s">
        <v>162</v>
      </c>
      <c r="B186" s="21" t="s">
        <v>846</v>
      </c>
      <c r="C186" s="18" t="str">
        <f t="shared" si="29"/>
        <v>NLDM-23</v>
      </c>
      <c r="D186" s="8">
        <f>+VLOOKUP(C:C,CtrlPozo!$B:$O,13,0)</f>
        <v>0.98</v>
      </c>
      <c r="E186" s="8">
        <f>+VLOOKUP(C:C,CtrlPozo!$B:$O,12,0)</f>
        <v>0.51</v>
      </c>
      <c r="F186" s="11">
        <f t="shared" si="21"/>
        <v>1.49</v>
      </c>
      <c r="G186" s="11">
        <f>IFERROR(VLOOKUP(C:C,CtrlPozo!$B:$O,10,0),"")</f>
        <v>88</v>
      </c>
      <c r="H186" s="9" t="s">
        <v>99</v>
      </c>
      <c r="I186" s="9">
        <f>VLOOKUP(H:H,LP!$A:$C,3,0)</f>
        <v>4.38</v>
      </c>
      <c r="J186" s="12" t="s">
        <v>46</v>
      </c>
      <c r="K186" s="10" t="s">
        <v>171</v>
      </c>
      <c r="L186" s="10" t="s">
        <v>86</v>
      </c>
      <c r="M186" s="9" t="s">
        <v>30</v>
      </c>
      <c r="N186" s="34">
        <f>HLOOKUP(VLOOKUP(J186,BCConc!$B:$D,3,0),$D$1:$G$259,ROW(B186),0)</f>
        <v>1.49</v>
      </c>
      <c r="O186" s="34"/>
      <c r="P186" s="34"/>
      <c r="Q186" s="34">
        <v>50</v>
      </c>
      <c r="R186" s="58">
        <f t="shared" si="22"/>
        <v>200</v>
      </c>
      <c r="S186" s="58">
        <f t="shared" si="23"/>
        <v>876</v>
      </c>
      <c r="T186" s="58" t="str">
        <f>VLOOKUP(J186,BCConc!$B:$E,4,0)</f>
        <v>DP</v>
      </c>
      <c r="U186" s="58" t="str">
        <f t="shared" si="24"/>
        <v>NLD</v>
      </c>
      <c r="V186" s="58" t="str">
        <f>VLOOKUP(U186,BCConc!$L$1:$M$36,2,0)</f>
        <v>Pozo</v>
      </c>
    </row>
    <row r="187" spans="1:22" ht="15" customHeight="1">
      <c r="A187" s="26" t="s">
        <v>162</v>
      </c>
      <c r="B187" s="21" t="s">
        <v>870</v>
      </c>
      <c r="C187" s="18" t="str">
        <f t="shared" si="29"/>
        <v>NLDM-29</v>
      </c>
      <c r="D187" s="8">
        <f>+VLOOKUP(C:C,CtrlPozo!$B:$O,13,0)</f>
        <v>4.1100000000000003</v>
      </c>
      <c r="E187" s="8">
        <f>+VLOOKUP(C:C,CtrlPozo!$B:$O,12,0)</f>
        <v>0.24</v>
      </c>
      <c r="F187" s="11">
        <f t="shared" si="21"/>
        <v>4.3500000000000005</v>
      </c>
      <c r="G187" s="11">
        <f>IFERROR(VLOOKUP(C:C,CtrlPozo!$B:$O,10,0),"")</f>
        <v>372</v>
      </c>
      <c r="H187" s="9" t="s">
        <v>97</v>
      </c>
      <c r="I187" s="9">
        <f>VLOOKUP(H:H,LP!$A:$C,3,0)</f>
        <v>2.19</v>
      </c>
      <c r="J187" s="10" t="s">
        <v>12</v>
      </c>
      <c r="K187" s="10" t="s">
        <v>171</v>
      </c>
      <c r="L187" s="10" t="s">
        <v>86</v>
      </c>
      <c r="M187" s="9" t="s">
        <v>30</v>
      </c>
      <c r="N187" s="34">
        <f>HLOOKUP(VLOOKUP(J187,BCConc!$B:$D,3,0),$D$1:$G$259,ROW(B187),0)</f>
        <v>0.24</v>
      </c>
      <c r="O187" s="34"/>
      <c r="P187" s="34"/>
      <c r="Q187" s="34">
        <v>50</v>
      </c>
      <c r="R187" s="58">
        <f t="shared" si="22"/>
        <v>200</v>
      </c>
      <c r="S187" s="58">
        <f t="shared" si="23"/>
        <v>438</v>
      </c>
      <c r="T187" s="58" t="str">
        <f>VLOOKUP(J187,BCConc!$B:$E,4,0)</f>
        <v>IC</v>
      </c>
      <c r="U187" s="58" t="str">
        <f t="shared" si="24"/>
        <v>NLD</v>
      </c>
      <c r="V187" s="58" t="str">
        <f>VLOOKUP(U187,BCConc!$L$1:$M$36,2,0)</f>
        <v>Pozo</v>
      </c>
    </row>
    <row r="188" spans="1:22" ht="15" customHeight="1">
      <c r="A188" s="26" t="s">
        <v>162</v>
      </c>
      <c r="B188" s="21" t="s">
        <v>910</v>
      </c>
      <c r="C188" s="18" t="str">
        <f t="shared" si="29"/>
        <v>NLDM-39</v>
      </c>
      <c r="D188" s="8">
        <f>+VLOOKUP(C:C,CtrlPozo!$B:$O,13,0)</f>
        <v>1.07</v>
      </c>
      <c r="E188" s="8">
        <f>+VLOOKUP(C:C,CtrlPozo!$B:$O,12,0)</f>
        <v>0.01</v>
      </c>
      <c r="F188" s="11">
        <f t="shared" si="21"/>
        <v>1.08</v>
      </c>
      <c r="G188" s="11">
        <f>IFERROR(VLOOKUP(C:C,CtrlPozo!$B:$O,10,0),"")</f>
        <v>96</v>
      </c>
      <c r="H188" s="9" t="s">
        <v>88</v>
      </c>
      <c r="I188" s="9">
        <f>VLOOKUP(H:H,LP!$A:$C,3,0)</f>
        <v>2.66</v>
      </c>
      <c r="J188" s="12" t="s">
        <v>19</v>
      </c>
      <c r="K188" s="10" t="s">
        <v>171</v>
      </c>
      <c r="L188" s="10" t="s">
        <v>86</v>
      </c>
      <c r="M188" s="9" t="s">
        <v>30</v>
      </c>
      <c r="N188" s="34">
        <f>HLOOKUP(VLOOKUP(J188,BCConc!$B:$D,3,0),$D$1:$G$259,ROW(B188),0)</f>
        <v>0.01</v>
      </c>
      <c r="O188" s="34"/>
      <c r="P188" s="34"/>
      <c r="Q188" s="34">
        <v>50</v>
      </c>
      <c r="R188" s="58">
        <f t="shared" si="22"/>
        <v>200</v>
      </c>
      <c r="S188" s="58">
        <f t="shared" si="23"/>
        <v>532</v>
      </c>
      <c r="T188" s="58" t="str">
        <f>VLOOKUP(J188,BCConc!$B:$E,4,0)</f>
        <v>CY</v>
      </c>
      <c r="U188" s="58" t="str">
        <f t="shared" si="24"/>
        <v>NLD</v>
      </c>
      <c r="V188" s="58" t="str">
        <f>VLOOKUP(U188,BCConc!$L$1:$M$36,2,0)</f>
        <v>Pozo</v>
      </c>
    </row>
    <row r="189" spans="1:22" ht="15" customHeight="1">
      <c r="A189" s="26" t="s">
        <v>162</v>
      </c>
      <c r="B189" s="21" t="s">
        <v>912</v>
      </c>
      <c r="C189" s="18" t="str">
        <f t="shared" si="29"/>
        <v>NLDM-59</v>
      </c>
      <c r="D189" s="8">
        <f>+VLOOKUP(C:C,CtrlPozo!$B:$O,13,0)</f>
        <v>2.74</v>
      </c>
      <c r="E189" s="8">
        <f>+VLOOKUP(C:C,CtrlPozo!$B:$O,12,0)</f>
        <v>0.24</v>
      </c>
      <c r="F189" s="11">
        <f t="shared" si="21"/>
        <v>2.9800000000000004</v>
      </c>
      <c r="G189" s="11">
        <f>IFERROR(VLOOKUP(C:C,CtrlPozo!$B:$O,10,0),"")</f>
        <v>247</v>
      </c>
      <c r="H189" s="9" t="s">
        <v>99</v>
      </c>
      <c r="I189" s="9">
        <f>VLOOKUP(H:H,LP!$A:$C,3,0)</f>
        <v>4.38</v>
      </c>
      <c r="J189" s="12" t="s">
        <v>46</v>
      </c>
      <c r="K189" s="10" t="s">
        <v>171</v>
      </c>
      <c r="L189" s="10" t="s">
        <v>86</v>
      </c>
      <c r="M189" s="9" t="s">
        <v>30</v>
      </c>
      <c r="N189" s="34">
        <f>HLOOKUP(VLOOKUP(J189,BCConc!$B:$D,3,0),$D$1:$G$259,ROW(B189),0)</f>
        <v>2.9800000000000004</v>
      </c>
      <c r="O189" s="34"/>
      <c r="P189" s="34"/>
      <c r="Q189" s="34">
        <v>50</v>
      </c>
      <c r="R189" s="58">
        <f t="shared" si="22"/>
        <v>200</v>
      </c>
      <c r="S189" s="58">
        <f t="shared" si="23"/>
        <v>876</v>
      </c>
      <c r="T189" s="58" t="str">
        <f>VLOOKUP(J189,BCConc!$B:$E,4,0)</f>
        <v>DP</v>
      </c>
      <c r="U189" s="58" t="str">
        <f t="shared" si="24"/>
        <v>NLD</v>
      </c>
      <c r="V189" s="58" t="str">
        <f>VLOOKUP(U189,BCConc!$L$1:$M$36,2,0)</f>
        <v>Pozo</v>
      </c>
    </row>
    <row r="190" spans="1:22" ht="15" customHeight="1">
      <c r="A190" s="26" t="s">
        <v>162</v>
      </c>
      <c r="B190" s="21" t="s">
        <v>957</v>
      </c>
      <c r="C190" s="18" t="str">
        <f t="shared" si="29"/>
        <v>NLDM-70</v>
      </c>
      <c r="D190" s="8">
        <f>+VLOOKUP(C:C,CtrlPozo!$B:$O,13,0)</f>
        <v>0.26</v>
      </c>
      <c r="E190" s="8">
        <f>+VLOOKUP(C:C,CtrlPozo!$B:$O,12,0)</f>
        <v>5.0199999999999996</v>
      </c>
      <c r="F190" s="11">
        <f t="shared" si="21"/>
        <v>5.2799999999999994</v>
      </c>
      <c r="G190" s="11">
        <f>IFERROR(VLOOKUP(C:C,CtrlPozo!$B:$O,10,0),"")</f>
        <v>24</v>
      </c>
      <c r="H190" s="9" t="s">
        <v>88</v>
      </c>
      <c r="I190" s="9">
        <f>VLOOKUP(H:H,LP!$A:$C,3,0)</f>
        <v>2.66</v>
      </c>
      <c r="J190" s="12" t="s">
        <v>19</v>
      </c>
      <c r="K190" s="10" t="s">
        <v>171</v>
      </c>
      <c r="L190" s="10" t="s">
        <v>86</v>
      </c>
      <c r="M190" s="9" t="s">
        <v>30</v>
      </c>
      <c r="N190" s="34">
        <f>HLOOKUP(VLOOKUP(J190,BCConc!$B:$D,3,0),$D$1:$G$259,ROW(B190),0)</f>
        <v>5.0199999999999996</v>
      </c>
      <c r="O190" s="34"/>
      <c r="P190" s="34"/>
      <c r="Q190" s="34">
        <v>50</v>
      </c>
      <c r="R190" s="58">
        <f t="shared" si="22"/>
        <v>200</v>
      </c>
      <c r="S190" s="58">
        <f t="shared" si="23"/>
        <v>532</v>
      </c>
      <c r="T190" s="58" t="str">
        <f>VLOOKUP(J190,BCConc!$B:$E,4,0)</f>
        <v>CY</v>
      </c>
      <c r="U190" s="58" t="str">
        <f t="shared" si="24"/>
        <v>NLD</v>
      </c>
      <c r="V190" s="58" t="str">
        <f>VLOOKUP(U190,BCConc!$L$1:$M$36,2,0)</f>
        <v>Pozo</v>
      </c>
    </row>
    <row r="191" spans="1:22" ht="15" customHeight="1">
      <c r="A191" s="26" t="s">
        <v>162</v>
      </c>
      <c r="B191" s="21" t="s">
        <v>976</v>
      </c>
      <c r="C191" s="18" t="str">
        <f t="shared" si="29"/>
        <v>LDM-73</v>
      </c>
      <c r="D191" s="8">
        <f>+VLOOKUP(C:C,CtrlPozo!$B:$O,13,0)</f>
        <v>0.2</v>
      </c>
      <c r="E191" s="8">
        <f>+VLOOKUP(C:C,CtrlPozo!$B:$O,12,0)</f>
        <v>4.55</v>
      </c>
      <c r="F191" s="11">
        <f t="shared" si="21"/>
        <v>4.75</v>
      </c>
      <c r="G191" s="11">
        <f>IFERROR(VLOOKUP(C:C,CtrlPozo!$B:$O,10,0),"")</f>
        <v>18</v>
      </c>
      <c r="H191" s="9" t="s">
        <v>88</v>
      </c>
      <c r="I191" s="9">
        <f>VLOOKUP(H:H,LP!$A:$C,3,0)</f>
        <v>2.66</v>
      </c>
      <c r="J191" s="12" t="s">
        <v>19</v>
      </c>
      <c r="K191" s="10" t="s">
        <v>171</v>
      </c>
      <c r="L191" s="10" t="s">
        <v>86</v>
      </c>
      <c r="M191" s="9" t="s">
        <v>30</v>
      </c>
      <c r="N191" s="34">
        <f>HLOOKUP(VLOOKUP(J191,BCConc!$B:$D,3,0),$D$1:$G$259,ROW(B191),0)</f>
        <v>4.55</v>
      </c>
      <c r="O191" s="34"/>
      <c r="P191" s="34"/>
      <c r="Q191" s="34">
        <v>50</v>
      </c>
      <c r="R191" s="58">
        <f t="shared" si="22"/>
        <v>200</v>
      </c>
      <c r="S191" s="58">
        <f t="shared" si="23"/>
        <v>532</v>
      </c>
      <c r="T191" s="58" t="str">
        <f>VLOOKUP(J191,BCConc!$B:$E,4,0)</f>
        <v>CY</v>
      </c>
      <c r="U191" s="58" t="str">
        <f t="shared" si="24"/>
        <v>LDM</v>
      </c>
      <c r="V191" s="58" t="str">
        <f>VLOOKUP(U191,BCConc!$L$1:$M$36,2,0)</f>
        <v>Pozo</v>
      </c>
    </row>
    <row r="192" spans="1:22" ht="15" customHeight="1">
      <c r="A192" s="26" t="s">
        <v>162</v>
      </c>
      <c r="B192" s="21" t="s">
        <v>978</v>
      </c>
      <c r="C192" s="18" t="str">
        <f t="shared" si="29"/>
        <v>LDM-79</v>
      </c>
      <c r="D192" s="8">
        <f>+VLOOKUP(C:C,CtrlPozo!$B:$O,13,0)</f>
        <v>1.91</v>
      </c>
      <c r="E192" s="8">
        <f>+VLOOKUP(C:C,CtrlPozo!$B:$O,12,0)</f>
        <v>29.07</v>
      </c>
      <c r="F192" s="11">
        <f t="shared" si="21"/>
        <v>30.98</v>
      </c>
      <c r="G192" s="11">
        <f>IFERROR(VLOOKUP(C:C,CtrlPozo!$B:$O,10,0),"")</f>
        <v>174</v>
      </c>
      <c r="H192" s="9" t="s">
        <v>98</v>
      </c>
      <c r="I192" s="9">
        <f>VLOOKUP(H:H,LP!$A:$C,3,0)</f>
        <v>6.94</v>
      </c>
      <c r="J192" s="10" t="s">
        <v>10</v>
      </c>
      <c r="K192" s="10" t="s">
        <v>171</v>
      </c>
      <c r="L192" s="10" t="s">
        <v>86</v>
      </c>
      <c r="M192" s="9" t="s">
        <v>30</v>
      </c>
      <c r="N192" s="34"/>
      <c r="O192" s="34"/>
      <c r="P192" s="34"/>
      <c r="Q192" s="34">
        <v>50</v>
      </c>
      <c r="R192" s="58">
        <f t="shared" si="22"/>
        <v>200</v>
      </c>
      <c r="S192" s="58">
        <f t="shared" si="23"/>
        <v>1388</v>
      </c>
      <c r="T192" s="58" t="str">
        <f>VLOOKUP(J192,BCConc!$B:$E,4,0)</f>
        <v>BX</v>
      </c>
      <c r="U192" s="58" t="str">
        <f t="shared" si="24"/>
        <v>LDM</v>
      </c>
      <c r="V192" s="58" t="str">
        <f>VLOOKUP(U192,BCConc!$L$1:$M$36,2,0)</f>
        <v>Pozo</v>
      </c>
    </row>
    <row r="193" spans="1:22" ht="15" customHeight="1">
      <c r="A193" s="28" t="s">
        <v>163</v>
      </c>
      <c r="B193" s="21" t="s">
        <v>104</v>
      </c>
      <c r="C193" s="18" t="str">
        <f t="shared" si="29"/>
        <v>NLL-2001h</v>
      </c>
      <c r="D193" s="8">
        <f>+VLOOKUP(C:C,CtrlPozo!$B:$O,13,0)</f>
        <v>6.59</v>
      </c>
      <c r="E193" s="8">
        <f>+VLOOKUP(C:C,CtrlPozo!$B:$O,12,0)</f>
        <v>7.85</v>
      </c>
      <c r="F193" s="11">
        <f t="shared" si="21"/>
        <v>14.44</v>
      </c>
      <c r="G193" s="11">
        <f>IFERROR(VLOOKUP(C:C,CtrlPozo!$B:$O,10,0),"")</f>
        <v>29</v>
      </c>
      <c r="H193" s="9" t="s">
        <v>88</v>
      </c>
      <c r="I193" s="9">
        <f>VLOOKUP(H:H,LP!$A:$C,3,0)</f>
        <v>2.66</v>
      </c>
      <c r="J193" s="12" t="s">
        <v>19</v>
      </c>
      <c r="K193" s="10" t="s">
        <v>171</v>
      </c>
      <c r="L193" s="10" t="s">
        <v>86</v>
      </c>
      <c r="M193" s="9" t="s">
        <v>30</v>
      </c>
      <c r="N193" s="34">
        <f>HLOOKUP(VLOOKUP(J193,BCConc!$B:$D,3,0),$D$1:$G$259,ROW(B193),0)</f>
        <v>7.85</v>
      </c>
      <c r="O193" s="34"/>
      <c r="P193" s="34"/>
      <c r="Q193" s="34">
        <v>50</v>
      </c>
      <c r="R193" s="58">
        <f t="shared" si="22"/>
        <v>200</v>
      </c>
      <c r="S193" s="58">
        <f t="shared" si="23"/>
        <v>532</v>
      </c>
      <c r="T193" s="58" t="str">
        <f>VLOOKUP(J193,BCConc!$B:$E,4,0)</f>
        <v>CY</v>
      </c>
      <c r="U193" s="58" t="str">
        <f t="shared" si="24"/>
        <v>NLL</v>
      </c>
      <c r="V193" s="58" t="str">
        <f>VLOOKUP(U193,BCConc!$L$1:$M$36,2,0)</f>
        <v>Pozo</v>
      </c>
    </row>
    <row r="194" spans="1:22" ht="15" customHeight="1">
      <c r="A194" s="19" t="s">
        <v>168</v>
      </c>
      <c r="B194" s="21" t="s">
        <v>66</v>
      </c>
      <c r="C194" s="8" t="str">
        <f t="shared" ref="C194:C196" si="30">B194</f>
        <v>NPP-0006</v>
      </c>
      <c r="D194" s="8">
        <f>+VLOOKUP(C:C,CtrlPozo!$B:$O,13,0)</f>
        <v>6.9</v>
      </c>
      <c r="E194" s="8">
        <f>+VLOOKUP(C:C,CtrlPozo!$B:$O,12,0)</f>
        <v>0.11</v>
      </c>
      <c r="F194" s="11">
        <f t="shared" si="21"/>
        <v>7.0100000000000007</v>
      </c>
      <c r="G194" s="11">
        <f>IFERROR(VLOOKUP(C:C,CtrlPozo!$B:$O,10,0),"")</f>
        <v>7</v>
      </c>
      <c r="H194" s="9" t="s">
        <v>142</v>
      </c>
      <c r="I194" s="9">
        <f>VLOOKUP(H:H,LP!$A:$C,3,0)</f>
        <v>3.74</v>
      </c>
      <c r="J194" s="10" t="s">
        <v>46</v>
      </c>
      <c r="K194" s="10" t="s">
        <v>171</v>
      </c>
      <c r="L194" s="10" t="s">
        <v>86</v>
      </c>
      <c r="M194" s="9" t="s">
        <v>30</v>
      </c>
      <c r="N194" s="34">
        <f>HLOOKUP(VLOOKUP(J194,BCConc!$B:$D,3,0),$D$1:$G$259,ROW(B194),0)</f>
        <v>7.0100000000000007</v>
      </c>
      <c r="O194" s="34"/>
      <c r="P194" s="34"/>
      <c r="Q194" s="34">
        <v>50</v>
      </c>
      <c r="R194" s="58">
        <f t="shared" si="22"/>
        <v>200</v>
      </c>
      <c r="S194" s="58">
        <f t="shared" si="23"/>
        <v>748</v>
      </c>
      <c r="T194" s="58" t="str">
        <f>VLOOKUP(J194,BCConc!$B:$E,4,0)</f>
        <v>DP</v>
      </c>
      <c r="U194" s="58" t="str">
        <f t="shared" si="24"/>
        <v>NPP</v>
      </c>
      <c r="V194" s="58" t="str">
        <f>VLOOKUP(U194,BCConc!$L$1:$M$36,2,0)</f>
        <v>Pozo</v>
      </c>
    </row>
    <row r="195" spans="1:22" ht="15" customHeight="1">
      <c r="A195" s="19" t="s">
        <v>168</v>
      </c>
      <c r="B195" s="21" t="s">
        <v>89</v>
      </c>
      <c r="C195" s="8" t="str">
        <f t="shared" si="30"/>
        <v>NPP-0026</v>
      </c>
      <c r="D195" s="8">
        <f>+VLOOKUP(C:C,CtrlPozo!$B:$O,13,0)</f>
        <v>2.68</v>
      </c>
      <c r="E195" s="8">
        <f>+VLOOKUP(C:C,CtrlPozo!$B:$O,12,0)</f>
        <v>3.72</v>
      </c>
      <c r="F195" s="11">
        <f t="shared" si="21"/>
        <v>6.4</v>
      </c>
      <c r="G195" s="11">
        <f>IFERROR(VLOOKUP(C:C,CtrlPozo!$B:$O,10,0),"")</f>
        <v>6</v>
      </c>
      <c r="H195" s="9" t="s">
        <v>99</v>
      </c>
      <c r="I195" s="9">
        <f>VLOOKUP(H:H,LP!$A:$C,3,0)</f>
        <v>4.38</v>
      </c>
      <c r="J195" s="10" t="s">
        <v>46</v>
      </c>
      <c r="K195" s="10" t="s">
        <v>171</v>
      </c>
      <c r="L195" s="10" t="s">
        <v>86</v>
      </c>
      <c r="M195" s="9" t="s">
        <v>30</v>
      </c>
      <c r="N195" s="34">
        <f>HLOOKUP(VLOOKUP(J195,BCConc!$B:$D,3,0),$D$1:$G$259,ROW(B195),0)</f>
        <v>6.4</v>
      </c>
      <c r="O195" s="34"/>
      <c r="P195" s="34"/>
      <c r="Q195" s="34">
        <v>50</v>
      </c>
      <c r="R195" s="58">
        <f t="shared" si="22"/>
        <v>200</v>
      </c>
      <c r="S195" s="58">
        <f t="shared" si="23"/>
        <v>876</v>
      </c>
      <c r="T195" s="58" t="str">
        <f>VLOOKUP(J195,BCConc!$B:$E,4,0)</f>
        <v>DP</v>
      </c>
      <c r="U195" s="58" t="str">
        <f t="shared" si="24"/>
        <v>NPP</v>
      </c>
      <c r="V195" s="58" t="str">
        <f>VLOOKUP(U195,BCConc!$L$1:$M$36,2,0)</f>
        <v>Pozo</v>
      </c>
    </row>
    <row r="196" spans="1:22" ht="15" customHeight="1">
      <c r="A196" s="19" t="s">
        <v>168</v>
      </c>
      <c r="B196" s="21" t="s">
        <v>89</v>
      </c>
      <c r="C196" s="8" t="str">
        <f t="shared" si="30"/>
        <v>NPP-0026</v>
      </c>
      <c r="D196" s="8">
        <f>+VLOOKUP(C:C,CtrlPozo!$B:$O,13,0)</f>
        <v>2.68</v>
      </c>
      <c r="E196" s="8">
        <f>+VLOOKUP(C:C,CtrlPozo!$B:$O,12,0)</f>
        <v>3.72</v>
      </c>
      <c r="F196" s="11">
        <f t="shared" ref="F196:F259" si="31">E196+D196</f>
        <v>6.4</v>
      </c>
      <c r="G196" s="11">
        <f>IFERROR(VLOOKUP(C:C,CtrlPozo!$B:$O,10,0),"")</f>
        <v>6</v>
      </c>
      <c r="H196" s="9" t="s">
        <v>131</v>
      </c>
      <c r="I196" s="9">
        <f>VLOOKUP(H:H,LP!$A:$C,3,0)</f>
        <v>4.8099999999999996</v>
      </c>
      <c r="J196" s="10" t="s">
        <v>12</v>
      </c>
      <c r="K196" s="10" t="s">
        <v>171</v>
      </c>
      <c r="L196" s="10" t="s">
        <v>86</v>
      </c>
      <c r="M196" s="9" t="s">
        <v>30</v>
      </c>
      <c r="N196" s="34">
        <f>HLOOKUP(VLOOKUP(J196,BCConc!$B:$D,3,0),$D$1:$G$259,ROW(B196),0)</f>
        <v>3.72</v>
      </c>
      <c r="O196" s="34"/>
      <c r="P196" s="34"/>
      <c r="Q196" s="34">
        <v>50</v>
      </c>
      <c r="R196" s="58">
        <f t="shared" ref="R196:R259" si="32">IF(O196&gt;0,O196*30.5,IF(AND(M196="BATCH",L196="SEMANAL"),Q196*4,IF(AND(M196="BATCH",L196="Quincenal"),Q196*2,IF(AND(M196="ENCAPSULADO",L196="8M"),Q196/8,IF(AND(M196="ENCAPSULADO",L196="6M"),Q196/6,IF(AND(M196="ENCAPSULADO",L196="4M"),Q196/4,IF(AND(M196="ENCAPSULADO",L196="3M"),Q196/3,"")))))))</f>
        <v>200</v>
      </c>
      <c r="S196" s="58">
        <f t="shared" ref="S196:S259" si="33">R196*I196</f>
        <v>961.99999999999989</v>
      </c>
      <c r="T196" s="58" t="str">
        <f>VLOOKUP(J196,BCConc!$B:$E,4,0)</f>
        <v>IC</v>
      </c>
      <c r="U196" s="58" t="str">
        <f t="shared" ref="U196:U259" si="34">MID(B196,1,3)</f>
        <v>NPP</v>
      </c>
      <c r="V196" s="58" t="str">
        <f>VLOOKUP(U196,BCConc!$L$1:$M$36,2,0)</f>
        <v>Pozo</v>
      </c>
    </row>
    <row r="197" spans="1:22" ht="15" customHeight="1">
      <c r="A197" s="7" t="s">
        <v>158</v>
      </c>
      <c r="B197" s="21" t="s">
        <v>631</v>
      </c>
      <c r="C197" s="8" t="str">
        <f t="shared" ref="C197:C231" si="35">B197</f>
        <v>NCFS.x-2</v>
      </c>
      <c r="D197" s="8">
        <f>+VLOOKUP(C:C,CtrlPozo!$B:$O,13,0)</f>
        <v>0.04</v>
      </c>
      <c r="E197" s="8">
        <f>+VLOOKUP(C:C,CtrlPozo!$B:$O,12,0)</f>
        <v>36.630000000000003</v>
      </c>
      <c r="F197" s="11">
        <f t="shared" si="31"/>
        <v>36.67</v>
      </c>
      <c r="G197" s="11">
        <f>IFERROR(VLOOKUP(C:C,CtrlPozo!$B:$O,10,0),"")</f>
        <v>23535</v>
      </c>
      <c r="H197" s="9" t="s">
        <v>92</v>
      </c>
      <c r="I197" s="9">
        <f>VLOOKUP(H:H,LP!$A:$C,3,0)</f>
        <v>8.76</v>
      </c>
      <c r="J197" s="10" t="s">
        <v>156</v>
      </c>
      <c r="K197" s="10" t="s">
        <v>90</v>
      </c>
      <c r="L197" s="10" t="str">
        <f t="shared" ref="L197:L228" si="36">IF(N197&lt;25,"8M",IF(N197&lt;50,"6M",IF(N197&lt;100,"4M","3M")))</f>
        <v>6M</v>
      </c>
      <c r="M197" s="9" t="s">
        <v>109</v>
      </c>
      <c r="N197" s="34">
        <f>HLOOKUP(VLOOKUP(J197,BCConc!$B:$D,3,0),$D$1:$G$259,ROW(B197),0)</f>
        <v>36.630000000000003</v>
      </c>
      <c r="O197" s="34"/>
      <c r="P197" s="34"/>
      <c r="Q197" s="34">
        <v>400</v>
      </c>
      <c r="R197" s="58">
        <f t="shared" si="32"/>
        <v>66.666666666666671</v>
      </c>
      <c r="S197" s="58">
        <f t="shared" si="33"/>
        <v>584</v>
      </c>
      <c r="T197" s="58" t="str">
        <f>VLOOKUP(J197,BCConc!$B:$E,4,0)</f>
        <v>IC/CY</v>
      </c>
      <c r="U197" s="58" t="str">
        <f t="shared" si="34"/>
        <v>NCF</v>
      </c>
      <c r="V197" s="58" t="str">
        <f>VLOOKUP(U197,BCConc!$L$1:$M$36,2,0)</f>
        <v>Pozo</v>
      </c>
    </row>
    <row r="198" spans="1:22" ht="15" customHeight="1">
      <c r="A198" s="7" t="s">
        <v>158</v>
      </c>
      <c r="B198" s="21" t="s">
        <v>217</v>
      </c>
      <c r="C198" s="8" t="str">
        <f t="shared" si="35"/>
        <v>NCF-15</v>
      </c>
      <c r="D198" s="8">
        <f>+VLOOKUP(C:C,CtrlPozo!$B:$O,13,0)</f>
        <v>0.09</v>
      </c>
      <c r="E198" s="8">
        <f>+VLOOKUP(C:C,CtrlPozo!$B:$O,12,0)</f>
        <v>9.18</v>
      </c>
      <c r="F198" s="11">
        <f t="shared" si="31"/>
        <v>9.27</v>
      </c>
      <c r="G198" s="11">
        <f>IFERROR(VLOOKUP(C:C,CtrlPozo!$B:$O,10,0),"")</f>
        <v>10</v>
      </c>
      <c r="H198" s="9" t="s">
        <v>92</v>
      </c>
      <c r="I198" s="9">
        <f>VLOOKUP(H:H,LP!$A:$C,3,0)</f>
        <v>8.76</v>
      </c>
      <c r="J198" s="10" t="s">
        <v>156</v>
      </c>
      <c r="K198" s="10" t="s">
        <v>90</v>
      </c>
      <c r="L198" s="10" t="str">
        <f t="shared" si="36"/>
        <v>8M</v>
      </c>
      <c r="M198" s="9" t="s">
        <v>109</v>
      </c>
      <c r="N198" s="34">
        <f>HLOOKUP(VLOOKUP(J198,BCConc!$B:$D,3,0),$D$1:$G$259,ROW(B198),0)</f>
        <v>9.18</v>
      </c>
      <c r="O198" s="34"/>
      <c r="P198" s="34"/>
      <c r="Q198" s="34">
        <v>400</v>
      </c>
      <c r="R198" s="58">
        <f t="shared" si="32"/>
        <v>50</v>
      </c>
      <c r="S198" s="58">
        <f t="shared" si="33"/>
        <v>438</v>
      </c>
      <c r="T198" s="58" t="str">
        <f>VLOOKUP(J198,BCConc!$B:$E,4,0)</f>
        <v>IC/CY</v>
      </c>
      <c r="U198" s="58" t="str">
        <f t="shared" si="34"/>
        <v>NCF</v>
      </c>
      <c r="V198" s="58" t="str">
        <f>VLOOKUP(U198,BCConc!$L$1:$M$36,2,0)</f>
        <v>Pozo</v>
      </c>
    </row>
    <row r="199" spans="1:22" ht="15" customHeight="1">
      <c r="A199" s="7" t="s">
        <v>158</v>
      </c>
      <c r="B199" s="21" t="s">
        <v>1226</v>
      </c>
      <c r="C199" s="8" t="str">
        <f t="shared" si="35"/>
        <v>NCF-25</v>
      </c>
      <c r="D199" s="8">
        <f>D198</f>
        <v>0.09</v>
      </c>
      <c r="E199" s="8">
        <f>E198</f>
        <v>9.18</v>
      </c>
      <c r="F199" s="11">
        <f t="shared" si="31"/>
        <v>9.27</v>
      </c>
      <c r="G199" s="11" t="str">
        <f>IFERROR(VLOOKUP(C:C,CtrlPozo!$B:$O,10,0),"")</f>
        <v/>
      </c>
      <c r="H199" s="9" t="s">
        <v>91</v>
      </c>
      <c r="I199" s="9">
        <f>VLOOKUP(H:H,LP!$A:$C,3,0)</f>
        <v>10.58</v>
      </c>
      <c r="J199" s="12" t="s">
        <v>12</v>
      </c>
      <c r="K199" s="10" t="s">
        <v>90</v>
      </c>
      <c r="L199" s="10" t="str">
        <f t="shared" si="36"/>
        <v>8M</v>
      </c>
      <c r="M199" s="9" t="s">
        <v>109</v>
      </c>
      <c r="N199" s="34">
        <f>HLOOKUP(VLOOKUP(J199,BCConc!$B:$D,3,0),$D$1:$G$259,ROW(B199),0)</f>
        <v>9.18</v>
      </c>
      <c r="O199" s="34"/>
      <c r="P199" s="34"/>
      <c r="Q199" s="34">
        <v>200</v>
      </c>
      <c r="R199" s="58">
        <f t="shared" si="32"/>
        <v>25</v>
      </c>
      <c r="S199" s="58">
        <f t="shared" si="33"/>
        <v>264.5</v>
      </c>
      <c r="T199" s="58" t="str">
        <f>VLOOKUP(J199,BCConc!$B:$E,4,0)</f>
        <v>IC</v>
      </c>
      <c r="U199" s="58" t="str">
        <f t="shared" si="34"/>
        <v>NCF</v>
      </c>
      <c r="V199" s="58" t="str">
        <f>VLOOKUP(U199,BCConc!$L$1:$M$36,2,0)</f>
        <v>Pozo</v>
      </c>
    </row>
    <row r="200" spans="1:22" ht="15" customHeight="1">
      <c r="A200" s="7" t="s">
        <v>158</v>
      </c>
      <c r="B200" s="21" t="s">
        <v>141</v>
      </c>
      <c r="C200" s="8" t="str">
        <f t="shared" si="35"/>
        <v>NCF-0050</v>
      </c>
      <c r="D200" s="8">
        <f>+VLOOKUP(C:C,CtrlPozo!$B:$O,13,0)</f>
        <v>1.08</v>
      </c>
      <c r="E200" s="8">
        <f>+VLOOKUP(C:C,CtrlPozo!$B:$O,12,0)</f>
        <v>1.86</v>
      </c>
      <c r="F200" s="11">
        <f t="shared" si="31"/>
        <v>2.9400000000000004</v>
      </c>
      <c r="G200" s="11">
        <f>IFERROR(VLOOKUP(C:C,CtrlPozo!$B:$O,10,0),"")</f>
        <v>3807.2</v>
      </c>
      <c r="H200" s="9" t="s">
        <v>93</v>
      </c>
      <c r="I200" s="9">
        <f>VLOOKUP(H:H,LP!$A:$C,3,0)</f>
        <v>6.94</v>
      </c>
      <c r="J200" s="12" t="s">
        <v>19</v>
      </c>
      <c r="K200" s="10" t="s">
        <v>90</v>
      </c>
      <c r="L200" s="10" t="str">
        <f t="shared" si="36"/>
        <v>8M</v>
      </c>
      <c r="M200" s="9" t="s">
        <v>109</v>
      </c>
      <c r="N200" s="34">
        <f>HLOOKUP(VLOOKUP(J200,BCConc!$B:$D,3,0),$D$1:$G$259,ROW(B200),0)</f>
        <v>1.86</v>
      </c>
      <c r="O200" s="34"/>
      <c r="P200" s="34"/>
      <c r="Q200" s="34">
        <v>200</v>
      </c>
      <c r="R200" s="58">
        <f t="shared" si="32"/>
        <v>25</v>
      </c>
      <c r="S200" s="58">
        <f t="shared" si="33"/>
        <v>173.5</v>
      </c>
      <c r="T200" s="58" t="str">
        <f>VLOOKUP(J200,BCConc!$B:$E,4,0)</f>
        <v>CY</v>
      </c>
      <c r="U200" s="58" t="str">
        <f t="shared" si="34"/>
        <v>NCF</v>
      </c>
      <c r="V200" s="58" t="str">
        <f>VLOOKUP(U200,BCConc!$L$1:$M$36,2,0)</f>
        <v>Pozo</v>
      </c>
    </row>
    <row r="201" spans="1:22" ht="15" customHeight="1">
      <c r="A201" s="7" t="s">
        <v>158</v>
      </c>
      <c r="B201" s="21" t="s">
        <v>268</v>
      </c>
      <c r="C201" s="8" t="str">
        <f t="shared" si="35"/>
        <v>NCF-52</v>
      </c>
      <c r="D201" s="8">
        <f>+VLOOKUP(C:C,CtrlPozo!$B:$O,13,0)</f>
        <v>0.1</v>
      </c>
      <c r="E201" s="8">
        <f>+VLOOKUP(C:C,CtrlPozo!$B:$O,12,0)</f>
        <v>98.01</v>
      </c>
      <c r="F201" s="11">
        <f t="shared" si="31"/>
        <v>98.11</v>
      </c>
      <c r="G201" s="11">
        <f>IFERROR(VLOOKUP(C:C,CtrlPozo!$B:$O,10,0),"")</f>
        <v>223.3</v>
      </c>
      <c r="H201" s="9" t="s">
        <v>93</v>
      </c>
      <c r="I201" s="9">
        <f>VLOOKUP(H:H,LP!$A:$C,3,0)</f>
        <v>6.94</v>
      </c>
      <c r="J201" s="12" t="s">
        <v>19</v>
      </c>
      <c r="K201" s="10" t="s">
        <v>90</v>
      </c>
      <c r="L201" s="10" t="str">
        <f t="shared" si="36"/>
        <v>4M</v>
      </c>
      <c r="M201" s="9" t="s">
        <v>109</v>
      </c>
      <c r="N201" s="34">
        <f>HLOOKUP(VLOOKUP(J201,BCConc!$B:$D,3,0),$D$1:$G$259,ROW(B201),0)</f>
        <v>98.01</v>
      </c>
      <c r="O201" s="34"/>
      <c r="P201" s="34"/>
      <c r="Q201" s="34">
        <v>200</v>
      </c>
      <c r="R201" s="58">
        <f t="shared" si="32"/>
        <v>50</v>
      </c>
      <c r="S201" s="58">
        <f t="shared" si="33"/>
        <v>347</v>
      </c>
      <c r="T201" s="58" t="str">
        <f>VLOOKUP(J201,BCConc!$B:$E,4,0)</f>
        <v>CY</v>
      </c>
      <c r="U201" s="58" t="str">
        <f t="shared" si="34"/>
        <v>NCF</v>
      </c>
      <c r="V201" s="58" t="str">
        <f>VLOOKUP(U201,BCConc!$L$1:$M$36,2,0)</f>
        <v>Pozo</v>
      </c>
    </row>
    <row r="202" spans="1:22" ht="15" customHeight="1">
      <c r="A202" s="7" t="s">
        <v>158</v>
      </c>
      <c r="B202" s="21" t="s">
        <v>94</v>
      </c>
      <c r="C202" s="8" t="str">
        <f t="shared" si="35"/>
        <v>NCF-0056</v>
      </c>
      <c r="D202" s="8">
        <f>+VLOOKUP(C:C,CtrlPozo!$B:$O,13,0)</f>
        <v>0.15</v>
      </c>
      <c r="E202" s="8">
        <f>+VLOOKUP(C:C,CtrlPozo!$B:$O,12,0)</f>
        <v>17.14</v>
      </c>
      <c r="F202" s="11">
        <f t="shared" si="31"/>
        <v>17.29</v>
      </c>
      <c r="G202" s="11">
        <f>IFERROR(VLOOKUP(C:C,CtrlPozo!$B:$O,10,0),"")</f>
        <v>20</v>
      </c>
      <c r="H202" s="9" t="s">
        <v>93</v>
      </c>
      <c r="I202" s="9">
        <f>VLOOKUP(H:H,LP!$A:$C,3,0)</f>
        <v>6.94</v>
      </c>
      <c r="J202" s="12" t="s">
        <v>19</v>
      </c>
      <c r="K202" s="10" t="s">
        <v>90</v>
      </c>
      <c r="L202" s="10" t="str">
        <f t="shared" si="36"/>
        <v>8M</v>
      </c>
      <c r="M202" s="9" t="s">
        <v>109</v>
      </c>
      <c r="N202" s="34">
        <f>HLOOKUP(VLOOKUP(J202,BCConc!$B:$D,3,0),$D$1:$G$259,ROW(B202),0)</f>
        <v>17.14</v>
      </c>
      <c r="O202" s="34"/>
      <c r="P202" s="34"/>
      <c r="Q202" s="34">
        <v>200</v>
      </c>
      <c r="R202" s="58">
        <f t="shared" si="32"/>
        <v>25</v>
      </c>
      <c r="S202" s="58">
        <f t="shared" si="33"/>
        <v>173.5</v>
      </c>
      <c r="T202" s="58" t="str">
        <f>VLOOKUP(J202,BCConc!$B:$E,4,0)</f>
        <v>CY</v>
      </c>
      <c r="U202" s="58" t="str">
        <f t="shared" si="34"/>
        <v>NCF</v>
      </c>
      <c r="V202" s="58" t="str">
        <f>VLOOKUP(U202,BCConc!$L$1:$M$36,2,0)</f>
        <v>Pozo</v>
      </c>
    </row>
    <row r="203" spans="1:22" ht="15" customHeight="1">
      <c r="A203" s="7" t="s">
        <v>158</v>
      </c>
      <c r="B203" s="21" t="s">
        <v>137</v>
      </c>
      <c r="C203" s="8" t="str">
        <f t="shared" si="35"/>
        <v>NCF-0069</v>
      </c>
      <c r="D203" s="8">
        <f>+VLOOKUP(C:C,CtrlPozo!$B:$O,13,0)</f>
        <v>2.79</v>
      </c>
      <c r="E203" s="8">
        <f>+VLOOKUP(C:C,CtrlPozo!$B:$O,12,0)</f>
        <v>56.25</v>
      </c>
      <c r="F203" s="11">
        <f t="shared" si="31"/>
        <v>59.04</v>
      </c>
      <c r="G203" s="11">
        <f>IFERROR(VLOOKUP(C:C,CtrlPozo!$B:$O,10,0),"")</f>
        <v>123.13</v>
      </c>
      <c r="H203" s="9" t="s">
        <v>92</v>
      </c>
      <c r="I203" s="9">
        <f>VLOOKUP(H:H,LP!$A:$C,3,0)</f>
        <v>8.76</v>
      </c>
      <c r="J203" s="10" t="s">
        <v>156</v>
      </c>
      <c r="K203" s="10" t="s">
        <v>90</v>
      </c>
      <c r="L203" s="10" t="str">
        <f t="shared" si="36"/>
        <v>4M</v>
      </c>
      <c r="M203" s="9" t="s">
        <v>109</v>
      </c>
      <c r="N203" s="34">
        <f>HLOOKUP(VLOOKUP(J203,BCConc!$B:$D,3,0),$D$1:$G$259,ROW(B203),0)</f>
        <v>56.25</v>
      </c>
      <c r="O203" s="34"/>
      <c r="P203" s="34"/>
      <c r="Q203" s="34">
        <v>400</v>
      </c>
      <c r="R203" s="58">
        <f t="shared" si="32"/>
        <v>100</v>
      </c>
      <c r="S203" s="58">
        <f t="shared" si="33"/>
        <v>876</v>
      </c>
      <c r="T203" s="58" t="str">
        <f>VLOOKUP(J203,BCConc!$B:$E,4,0)</f>
        <v>IC/CY</v>
      </c>
      <c r="U203" s="58" t="str">
        <f t="shared" si="34"/>
        <v>NCF</v>
      </c>
      <c r="V203" s="58" t="str">
        <f>VLOOKUP(U203,BCConc!$L$1:$M$36,2,0)</f>
        <v>Pozo</v>
      </c>
    </row>
    <row r="204" spans="1:22" ht="15" customHeight="1">
      <c r="A204" s="7" t="s">
        <v>158</v>
      </c>
      <c r="B204" s="21" t="s">
        <v>147</v>
      </c>
      <c r="C204" s="8" t="str">
        <f t="shared" si="35"/>
        <v>NCF-0088</v>
      </c>
      <c r="D204" s="8">
        <f>+VLOOKUP(C:C,CtrlPozo!$B:$O,13,0)</f>
        <v>0.1</v>
      </c>
      <c r="E204" s="8">
        <f>+VLOOKUP(C:C,CtrlPozo!$B:$O,12,0)</f>
        <v>10.4</v>
      </c>
      <c r="F204" s="11">
        <f t="shared" si="31"/>
        <v>10.5</v>
      </c>
      <c r="G204" s="11">
        <f>IFERROR(VLOOKUP(C:C,CtrlPozo!$B:$O,10,0),"")</f>
        <v>10</v>
      </c>
      <c r="H204" s="9" t="s">
        <v>92</v>
      </c>
      <c r="I204" s="9">
        <f>VLOOKUP(H:H,LP!$A:$C,3,0)</f>
        <v>8.76</v>
      </c>
      <c r="J204" s="10" t="s">
        <v>156</v>
      </c>
      <c r="K204" s="10" t="s">
        <v>90</v>
      </c>
      <c r="L204" s="10" t="str">
        <f t="shared" si="36"/>
        <v>8M</v>
      </c>
      <c r="M204" s="9" t="s">
        <v>109</v>
      </c>
      <c r="N204" s="34">
        <f>HLOOKUP(VLOOKUP(J204,BCConc!$B:$D,3,0),$D$1:$G$259,ROW(B204),0)</f>
        <v>10.4</v>
      </c>
      <c r="O204" s="34"/>
      <c r="P204" s="34"/>
      <c r="Q204" s="34">
        <v>400</v>
      </c>
      <c r="R204" s="58">
        <f t="shared" si="32"/>
        <v>50</v>
      </c>
      <c r="S204" s="58">
        <f t="shared" si="33"/>
        <v>438</v>
      </c>
      <c r="T204" s="58" t="str">
        <f>VLOOKUP(J204,BCConc!$B:$E,4,0)</f>
        <v>IC/CY</v>
      </c>
      <c r="U204" s="58" t="str">
        <f t="shared" si="34"/>
        <v>NCF</v>
      </c>
      <c r="V204" s="58" t="str">
        <f>VLOOKUP(U204,BCConc!$L$1:$M$36,2,0)</f>
        <v>Pozo</v>
      </c>
    </row>
    <row r="205" spans="1:22" ht="15" customHeight="1">
      <c r="A205" s="7" t="s">
        <v>158</v>
      </c>
      <c r="B205" s="21" t="s">
        <v>1227</v>
      </c>
      <c r="C205" s="8" t="str">
        <f t="shared" si="35"/>
        <v>NCF-102</v>
      </c>
      <c r="D205" s="8">
        <f>D204</f>
        <v>0.1</v>
      </c>
      <c r="E205" s="8">
        <f>E204</f>
        <v>10.4</v>
      </c>
      <c r="F205" s="11">
        <f t="shared" si="31"/>
        <v>10.5</v>
      </c>
      <c r="G205" s="11" t="str">
        <f>IFERROR(VLOOKUP(C:C,CtrlPozo!$B:$O,10,0),"")</f>
        <v/>
      </c>
      <c r="H205" s="9" t="s">
        <v>92</v>
      </c>
      <c r="I205" s="9">
        <f>VLOOKUP(H:H,LP!$A:$C,3,0)</f>
        <v>8.76</v>
      </c>
      <c r="J205" s="10" t="s">
        <v>156</v>
      </c>
      <c r="K205" s="10" t="s">
        <v>90</v>
      </c>
      <c r="L205" s="10" t="str">
        <f t="shared" si="36"/>
        <v>8M</v>
      </c>
      <c r="M205" s="9" t="s">
        <v>109</v>
      </c>
      <c r="N205" s="34">
        <f>HLOOKUP(VLOOKUP(J205,BCConc!$B:$D,3,0),$D$1:$G$259,ROW(B205),0)</f>
        <v>10.4</v>
      </c>
      <c r="O205" s="34"/>
      <c r="P205" s="34"/>
      <c r="Q205" s="34">
        <v>400</v>
      </c>
      <c r="R205" s="58">
        <f t="shared" si="32"/>
        <v>50</v>
      </c>
      <c r="S205" s="58">
        <f t="shared" si="33"/>
        <v>438</v>
      </c>
      <c r="T205" s="58" t="str">
        <f>VLOOKUP(J205,BCConc!$B:$E,4,0)</f>
        <v>IC/CY</v>
      </c>
      <c r="U205" s="58" t="str">
        <f t="shared" si="34"/>
        <v>NCF</v>
      </c>
      <c r="V205" s="58" t="str">
        <f>VLOOKUP(U205,BCConc!$L$1:$M$36,2,0)</f>
        <v>Pozo</v>
      </c>
    </row>
    <row r="206" spans="1:22" ht="15" customHeight="1">
      <c r="A206" s="7" t="s">
        <v>158</v>
      </c>
      <c r="B206" s="21" t="s">
        <v>125</v>
      </c>
      <c r="C206" s="8" t="str">
        <f t="shared" si="35"/>
        <v>NCF-0105</v>
      </c>
      <c r="D206" s="8">
        <f>+VLOOKUP(C:C,CtrlPozo!$B:$O,13,0)</f>
        <v>7.0000000000000007E-2</v>
      </c>
      <c r="E206" s="8">
        <f>+VLOOKUP(C:C,CtrlPozo!$B:$O,12,0)</f>
        <v>2.2999999999999998</v>
      </c>
      <c r="F206" s="11">
        <f t="shared" si="31"/>
        <v>2.3699999999999997</v>
      </c>
      <c r="G206" s="11">
        <f>IFERROR(VLOOKUP(C:C,CtrlPozo!$B:$O,10,0),"")</f>
        <v>100</v>
      </c>
      <c r="H206" s="9" t="s">
        <v>92</v>
      </c>
      <c r="I206" s="9">
        <f>VLOOKUP(H:H,LP!$A:$C,3,0)</f>
        <v>8.76</v>
      </c>
      <c r="J206" s="10" t="s">
        <v>156</v>
      </c>
      <c r="K206" s="10" t="s">
        <v>90</v>
      </c>
      <c r="L206" s="10" t="str">
        <f t="shared" si="36"/>
        <v>8M</v>
      </c>
      <c r="M206" s="9" t="s">
        <v>109</v>
      </c>
      <c r="N206" s="34">
        <f>HLOOKUP(VLOOKUP(J206,BCConc!$B:$D,3,0),$D$1:$G$259,ROW(B206),0)</f>
        <v>2.2999999999999998</v>
      </c>
      <c r="O206" s="34"/>
      <c r="P206" s="34"/>
      <c r="Q206" s="34">
        <v>400</v>
      </c>
      <c r="R206" s="58">
        <f t="shared" si="32"/>
        <v>50</v>
      </c>
      <c r="S206" s="58">
        <f t="shared" si="33"/>
        <v>438</v>
      </c>
      <c r="T206" s="58" t="str">
        <f>VLOOKUP(J206,BCConc!$B:$E,4,0)</f>
        <v>IC/CY</v>
      </c>
      <c r="U206" s="58" t="str">
        <f t="shared" si="34"/>
        <v>NCF</v>
      </c>
      <c r="V206" s="58" t="str">
        <f>VLOOKUP(U206,BCConc!$L$1:$M$36,2,0)</f>
        <v>Pozo</v>
      </c>
    </row>
    <row r="207" spans="1:22" ht="15" customHeight="1">
      <c r="A207" s="7" t="s">
        <v>158</v>
      </c>
      <c r="B207" s="21" t="s">
        <v>146</v>
      </c>
      <c r="C207" s="8" t="str">
        <f t="shared" si="35"/>
        <v>NCF-0113</v>
      </c>
      <c r="D207" s="8">
        <f>+VLOOKUP(C:C,CtrlPozo!$B:$O,13,0)</f>
        <v>0.26</v>
      </c>
      <c r="E207" s="8">
        <f>+VLOOKUP(C:C,CtrlPozo!$B:$O,12,0)</f>
        <v>26.64</v>
      </c>
      <c r="F207" s="11">
        <f t="shared" si="31"/>
        <v>26.900000000000002</v>
      </c>
      <c r="G207" s="11">
        <f>IFERROR(VLOOKUP(C:C,CtrlPozo!$B:$O,10,0),"")</f>
        <v>285</v>
      </c>
      <c r="H207" s="9" t="s">
        <v>92</v>
      </c>
      <c r="I207" s="9">
        <f>VLOOKUP(H:H,LP!$A:$C,3,0)</f>
        <v>8.76</v>
      </c>
      <c r="J207" s="10" t="s">
        <v>156</v>
      </c>
      <c r="K207" s="10" t="s">
        <v>90</v>
      </c>
      <c r="L207" s="10" t="str">
        <f t="shared" si="36"/>
        <v>6M</v>
      </c>
      <c r="M207" s="9" t="s">
        <v>109</v>
      </c>
      <c r="N207" s="34">
        <f>HLOOKUP(VLOOKUP(J207,BCConc!$B:$D,3,0),$D$1:$G$259,ROW(B207),0)</f>
        <v>26.64</v>
      </c>
      <c r="O207" s="34"/>
      <c r="P207" s="34"/>
      <c r="Q207" s="34">
        <v>400</v>
      </c>
      <c r="R207" s="58">
        <f t="shared" si="32"/>
        <v>66.666666666666671</v>
      </c>
      <c r="S207" s="58">
        <f t="shared" si="33"/>
        <v>584</v>
      </c>
      <c r="T207" s="58" t="str">
        <f>VLOOKUP(J207,BCConc!$B:$E,4,0)</f>
        <v>IC/CY</v>
      </c>
      <c r="U207" s="58" t="str">
        <f t="shared" si="34"/>
        <v>NCF</v>
      </c>
      <c r="V207" s="58" t="str">
        <f>VLOOKUP(U207,BCConc!$L$1:$M$36,2,0)</f>
        <v>Pozo</v>
      </c>
    </row>
    <row r="208" spans="1:22" ht="15" customHeight="1">
      <c r="A208" s="7" t="s">
        <v>158</v>
      </c>
      <c r="B208" s="21" t="s">
        <v>643</v>
      </c>
      <c r="C208" s="8" t="str">
        <f t="shared" si="35"/>
        <v>NCF-120</v>
      </c>
      <c r="D208" s="8">
        <f>+VLOOKUP(C:C,CtrlPozo!$B:$O,13,0)</f>
        <v>3.65</v>
      </c>
      <c r="E208" s="8">
        <f>+VLOOKUP(C:C,CtrlPozo!$B:$O,12,0)</f>
        <v>20.95</v>
      </c>
      <c r="F208" s="11">
        <f t="shared" si="31"/>
        <v>24.599999999999998</v>
      </c>
      <c r="G208" s="11">
        <f>IFERROR(VLOOKUP(C:C,CtrlPozo!$B:$O,10,0),"")</f>
        <v>133</v>
      </c>
      <c r="H208" s="9" t="s">
        <v>92</v>
      </c>
      <c r="I208" s="9">
        <f>VLOOKUP(H:H,LP!$A:$C,3,0)</f>
        <v>8.76</v>
      </c>
      <c r="J208" s="10" t="s">
        <v>156</v>
      </c>
      <c r="K208" s="10" t="s">
        <v>90</v>
      </c>
      <c r="L208" s="10" t="str">
        <f t="shared" si="36"/>
        <v>8M</v>
      </c>
      <c r="M208" s="9" t="s">
        <v>109</v>
      </c>
      <c r="N208" s="34">
        <f>HLOOKUP(VLOOKUP(J208,BCConc!$B:$D,3,0),$D$1:$G$259,ROW(B208),0)</f>
        <v>20.95</v>
      </c>
      <c r="O208" s="34"/>
      <c r="P208" s="34"/>
      <c r="Q208" s="34">
        <v>400</v>
      </c>
      <c r="R208" s="58">
        <f t="shared" si="32"/>
        <v>50</v>
      </c>
      <c r="S208" s="58">
        <f t="shared" si="33"/>
        <v>438</v>
      </c>
      <c r="T208" s="58" t="str">
        <f>VLOOKUP(J208,BCConc!$B:$E,4,0)</f>
        <v>IC/CY</v>
      </c>
      <c r="U208" s="58" t="str">
        <f t="shared" si="34"/>
        <v>NCF</v>
      </c>
      <c r="V208" s="58" t="str">
        <f>VLOOKUP(U208,BCConc!$L$1:$M$36,2,0)</f>
        <v>Pozo</v>
      </c>
    </row>
    <row r="209" spans="1:22" ht="15" customHeight="1">
      <c r="A209" s="7" t="s">
        <v>158</v>
      </c>
      <c r="B209" s="21" t="s">
        <v>672</v>
      </c>
      <c r="C209" s="8" t="str">
        <f t="shared" si="35"/>
        <v>NCF-121</v>
      </c>
      <c r="D209" s="8">
        <f>+VLOOKUP(C:C,CtrlPozo!$B:$O,13,0)</f>
        <v>22.51</v>
      </c>
      <c r="E209" s="8">
        <f>+VLOOKUP(C:C,CtrlPozo!$B:$O,12,0)</f>
        <v>19.5</v>
      </c>
      <c r="F209" s="11">
        <f t="shared" si="31"/>
        <v>42.010000000000005</v>
      </c>
      <c r="G209" s="11">
        <f>IFERROR(VLOOKUP(C:C,CtrlPozo!$B:$O,10,0),"")</f>
        <v>1433.1</v>
      </c>
      <c r="H209" s="9" t="s">
        <v>92</v>
      </c>
      <c r="I209" s="9">
        <f>VLOOKUP(H:H,LP!$A:$C,3,0)</f>
        <v>8.76</v>
      </c>
      <c r="J209" s="10" t="s">
        <v>156</v>
      </c>
      <c r="K209" s="10" t="s">
        <v>90</v>
      </c>
      <c r="L209" s="10" t="str">
        <f t="shared" si="36"/>
        <v>8M</v>
      </c>
      <c r="M209" s="9" t="s">
        <v>109</v>
      </c>
      <c r="N209" s="34">
        <f>HLOOKUP(VLOOKUP(J209,BCConc!$B:$D,3,0),$D$1:$G$259,ROW(B209),0)</f>
        <v>19.5</v>
      </c>
      <c r="O209" s="34"/>
      <c r="P209" s="34"/>
      <c r="Q209" s="34">
        <v>400</v>
      </c>
      <c r="R209" s="58">
        <f t="shared" si="32"/>
        <v>50</v>
      </c>
      <c r="S209" s="58">
        <f t="shared" si="33"/>
        <v>438</v>
      </c>
      <c r="T209" s="58" t="str">
        <f>VLOOKUP(J209,BCConc!$B:$E,4,0)</f>
        <v>IC/CY</v>
      </c>
      <c r="U209" s="58" t="str">
        <f t="shared" si="34"/>
        <v>NCF</v>
      </c>
      <c r="V209" s="58" t="str">
        <f>VLOOKUP(U209,BCConc!$L$1:$M$36,2,0)</f>
        <v>Pozo</v>
      </c>
    </row>
    <row r="210" spans="1:22" ht="15" customHeight="1">
      <c r="A210" s="7" t="s">
        <v>158</v>
      </c>
      <c r="B210" s="21" t="s">
        <v>688</v>
      </c>
      <c r="C210" s="8" t="str">
        <f t="shared" si="35"/>
        <v>NCF-129</v>
      </c>
      <c r="D210" s="8">
        <f>+VLOOKUP(C:C,CtrlPozo!$B:$O,13,0)</f>
        <v>0.55000000000000004</v>
      </c>
      <c r="E210" s="8">
        <f>+VLOOKUP(C:C,CtrlPozo!$B:$O,12,0)</f>
        <v>9.93</v>
      </c>
      <c r="F210" s="11">
        <f t="shared" si="31"/>
        <v>10.48</v>
      </c>
      <c r="G210" s="11">
        <f>IFERROR(VLOOKUP(C:C,CtrlPozo!$B:$O,10,0),"")</f>
        <v>821.25</v>
      </c>
      <c r="H210" s="9" t="s">
        <v>92</v>
      </c>
      <c r="I210" s="9">
        <f>VLOOKUP(H:H,LP!$A:$C,3,0)</f>
        <v>8.76</v>
      </c>
      <c r="J210" s="10" t="s">
        <v>156</v>
      </c>
      <c r="K210" s="10" t="s">
        <v>90</v>
      </c>
      <c r="L210" s="10" t="str">
        <f t="shared" si="36"/>
        <v>8M</v>
      </c>
      <c r="M210" s="9" t="s">
        <v>109</v>
      </c>
      <c r="N210" s="34">
        <f>HLOOKUP(VLOOKUP(J210,BCConc!$B:$D,3,0),$D$1:$G$259,ROW(B210),0)</f>
        <v>9.93</v>
      </c>
      <c r="O210" s="34"/>
      <c r="P210" s="34"/>
      <c r="Q210" s="34">
        <v>400</v>
      </c>
      <c r="R210" s="58">
        <f t="shared" si="32"/>
        <v>50</v>
      </c>
      <c r="S210" s="58">
        <f t="shared" si="33"/>
        <v>438</v>
      </c>
      <c r="T210" s="58" t="str">
        <f>VLOOKUP(J210,BCConc!$B:$E,4,0)</f>
        <v>IC/CY</v>
      </c>
      <c r="U210" s="58" t="str">
        <f t="shared" si="34"/>
        <v>NCF</v>
      </c>
      <c r="V210" s="58" t="str">
        <f>VLOOKUP(U210,BCConc!$L$1:$M$36,2,0)</f>
        <v>Pozo</v>
      </c>
    </row>
    <row r="211" spans="1:22" ht="15" customHeight="1">
      <c r="A211" s="7" t="s">
        <v>158</v>
      </c>
      <c r="B211" s="21" t="s">
        <v>710</v>
      </c>
      <c r="C211" s="8" t="str">
        <f t="shared" si="35"/>
        <v>NCF-134</v>
      </c>
      <c r="D211" s="8">
        <f>+VLOOKUP(C:C,CtrlPozo!$B:$O,13,0)</f>
        <v>7.37</v>
      </c>
      <c r="E211" s="8">
        <f>+VLOOKUP(C:C,CtrlPozo!$B:$O,12,0)</f>
        <v>13.09</v>
      </c>
      <c r="F211" s="11">
        <f t="shared" si="31"/>
        <v>20.46</v>
      </c>
      <c r="G211" s="11">
        <f>IFERROR(VLOOKUP(C:C,CtrlPozo!$B:$O,10,0),"")</f>
        <v>6367</v>
      </c>
      <c r="H211" s="9" t="s">
        <v>92</v>
      </c>
      <c r="I211" s="9">
        <f>VLOOKUP(H:H,LP!$A:$C,3,0)</f>
        <v>8.76</v>
      </c>
      <c r="J211" s="10" t="s">
        <v>156</v>
      </c>
      <c r="K211" s="10" t="s">
        <v>90</v>
      </c>
      <c r="L211" s="10" t="str">
        <f t="shared" si="36"/>
        <v>8M</v>
      </c>
      <c r="M211" s="9" t="s">
        <v>109</v>
      </c>
      <c r="N211" s="34">
        <f>HLOOKUP(VLOOKUP(J211,BCConc!$B:$D,3,0),$D$1:$G$259,ROW(B211),0)</f>
        <v>13.09</v>
      </c>
      <c r="O211" s="34"/>
      <c r="P211" s="34"/>
      <c r="Q211" s="34">
        <v>400</v>
      </c>
      <c r="R211" s="58">
        <f t="shared" si="32"/>
        <v>50</v>
      </c>
      <c r="S211" s="58">
        <f t="shared" si="33"/>
        <v>438</v>
      </c>
      <c r="T211" s="58" t="str">
        <f>VLOOKUP(J211,BCConc!$B:$E,4,0)</f>
        <v>IC/CY</v>
      </c>
      <c r="U211" s="58" t="str">
        <f t="shared" si="34"/>
        <v>NCF</v>
      </c>
      <c r="V211" s="58" t="str">
        <f>VLOOKUP(U211,BCConc!$L$1:$M$36,2,0)</f>
        <v>Pozo</v>
      </c>
    </row>
    <row r="212" spans="1:22" ht="15" customHeight="1">
      <c r="A212" s="7" t="s">
        <v>158</v>
      </c>
      <c r="B212" s="21" t="s">
        <v>739</v>
      </c>
      <c r="C212" s="8" t="str">
        <f t="shared" si="35"/>
        <v>NCF-140</v>
      </c>
      <c r="D212" s="8">
        <f>+VLOOKUP(C:C,CtrlPozo!$B:$O,13,0)</f>
        <v>3.2</v>
      </c>
      <c r="E212" s="8">
        <f>+VLOOKUP(C:C,CtrlPozo!$B:$O,12,0)</f>
        <v>3.57</v>
      </c>
      <c r="F212" s="11">
        <f t="shared" si="31"/>
        <v>6.77</v>
      </c>
      <c r="G212" s="11">
        <f>IFERROR(VLOOKUP(C:C,CtrlPozo!$B:$O,10,0),"")</f>
        <v>8913</v>
      </c>
      <c r="H212" s="9" t="s">
        <v>92</v>
      </c>
      <c r="I212" s="9">
        <f>VLOOKUP(H:H,LP!$A:$C,3,0)</f>
        <v>8.76</v>
      </c>
      <c r="J212" s="10" t="s">
        <v>156</v>
      </c>
      <c r="K212" s="10" t="s">
        <v>90</v>
      </c>
      <c r="L212" s="10" t="str">
        <f t="shared" si="36"/>
        <v>8M</v>
      </c>
      <c r="M212" s="9" t="s">
        <v>109</v>
      </c>
      <c r="N212" s="34">
        <f>HLOOKUP(VLOOKUP(J212,BCConc!$B:$D,3,0),$D$1:$G$259,ROW(B212),0)</f>
        <v>3.57</v>
      </c>
      <c r="O212" s="34"/>
      <c r="P212" s="34"/>
      <c r="Q212" s="34">
        <v>400</v>
      </c>
      <c r="R212" s="58">
        <f t="shared" si="32"/>
        <v>50</v>
      </c>
      <c r="S212" s="58">
        <f t="shared" si="33"/>
        <v>438</v>
      </c>
      <c r="T212" s="58" t="str">
        <f>VLOOKUP(J212,BCConc!$B:$E,4,0)</f>
        <v>IC/CY</v>
      </c>
      <c r="U212" s="58" t="str">
        <f t="shared" si="34"/>
        <v>NCF</v>
      </c>
      <c r="V212" s="58" t="str">
        <f>VLOOKUP(U212,BCConc!$L$1:$M$36,2,0)</f>
        <v>Pozo</v>
      </c>
    </row>
    <row r="213" spans="1:22" ht="15" customHeight="1">
      <c r="A213" s="7" t="s">
        <v>158</v>
      </c>
      <c r="B213" s="21" t="s">
        <v>757</v>
      </c>
      <c r="C213" s="8" t="str">
        <f t="shared" si="35"/>
        <v>NCF-144</v>
      </c>
      <c r="D213" s="8">
        <f>+VLOOKUP(C:C,CtrlPozo!$B:$O,13,0)</f>
        <v>10.28</v>
      </c>
      <c r="E213" s="8">
        <f>+VLOOKUP(C:C,CtrlPozo!$B:$O,12,0)</f>
        <v>1.03</v>
      </c>
      <c r="F213" s="11">
        <f t="shared" si="31"/>
        <v>11.309999999999999</v>
      </c>
      <c r="G213" s="11">
        <f>IFERROR(VLOOKUP(C:C,CtrlPozo!$B:$O,10,0),"")</f>
        <v>6566</v>
      </c>
      <c r="H213" s="9" t="s">
        <v>92</v>
      </c>
      <c r="I213" s="9">
        <f>VLOOKUP(H:H,LP!$A:$C,3,0)</f>
        <v>8.76</v>
      </c>
      <c r="J213" s="10" t="s">
        <v>156</v>
      </c>
      <c r="K213" s="10" t="s">
        <v>90</v>
      </c>
      <c r="L213" s="10" t="str">
        <f t="shared" si="36"/>
        <v>8M</v>
      </c>
      <c r="M213" s="9" t="s">
        <v>109</v>
      </c>
      <c r="N213" s="34">
        <f>HLOOKUP(VLOOKUP(J213,BCConc!$B:$D,3,0),$D$1:$G$259,ROW(B213),0)</f>
        <v>1.03</v>
      </c>
      <c r="O213" s="34"/>
      <c r="P213" s="34"/>
      <c r="Q213" s="34">
        <v>400</v>
      </c>
      <c r="R213" s="58">
        <f t="shared" si="32"/>
        <v>50</v>
      </c>
      <c r="S213" s="58">
        <f t="shared" si="33"/>
        <v>438</v>
      </c>
      <c r="T213" s="58" t="str">
        <f>VLOOKUP(J213,BCConc!$B:$E,4,0)</f>
        <v>IC/CY</v>
      </c>
      <c r="U213" s="58" t="str">
        <f t="shared" si="34"/>
        <v>NCF</v>
      </c>
      <c r="V213" s="58" t="str">
        <f>VLOOKUP(U213,BCConc!$L$1:$M$36,2,0)</f>
        <v>Pozo</v>
      </c>
    </row>
    <row r="214" spans="1:22" ht="15" customHeight="1">
      <c r="A214" s="7" t="s">
        <v>158</v>
      </c>
      <c r="B214" s="21" t="s">
        <v>808</v>
      </c>
      <c r="C214" s="8" t="str">
        <f t="shared" si="35"/>
        <v>NLCa-147</v>
      </c>
      <c r="D214" s="8">
        <f>+VLOOKUP(C:C,CtrlPozo!$B:$O,13,0)</f>
        <v>9.64</v>
      </c>
      <c r="E214" s="8">
        <f>+VLOOKUP(C:C,CtrlPozo!$B:$O,12,0)</f>
        <v>18.7</v>
      </c>
      <c r="F214" s="11">
        <f t="shared" si="31"/>
        <v>28.34</v>
      </c>
      <c r="G214" s="11">
        <f>IFERROR(VLOOKUP(C:C,CtrlPozo!$B:$O,10,0),"")</f>
        <v>8675</v>
      </c>
      <c r="H214" s="9" t="s">
        <v>92</v>
      </c>
      <c r="I214" s="9">
        <f>VLOOKUP(H:H,LP!$A:$C,3,0)</f>
        <v>8.76</v>
      </c>
      <c r="J214" s="10" t="s">
        <v>156</v>
      </c>
      <c r="K214" s="10" t="s">
        <v>90</v>
      </c>
      <c r="L214" s="10" t="str">
        <f t="shared" si="36"/>
        <v>8M</v>
      </c>
      <c r="M214" s="9" t="s">
        <v>109</v>
      </c>
      <c r="N214" s="34">
        <f>HLOOKUP(VLOOKUP(J214,BCConc!$B:$D,3,0),$D$1:$G$259,ROW(B214),0)</f>
        <v>18.7</v>
      </c>
      <c r="O214" s="34"/>
      <c r="P214" s="34"/>
      <c r="Q214" s="34">
        <v>400</v>
      </c>
      <c r="R214" s="58">
        <f t="shared" si="32"/>
        <v>50</v>
      </c>
      <c r="S214" s="58">
        <f t="shared" si="33"/>
        <v>438</v>
      </c>
      <c r="T214" s="58" t="str">
        <f>VLOOKUP(J214,BCConc!$B:$E,4,0)</f>
        <v>IC/CY</v>
      </c>
      <c r="U214" s="58" t="str">
        <f t="shared" si="34"/>
        <v>NLC</v>
      </c>
      <c r="V214" s="58" t="str">
        <f>VLOOKUP(U214,BCConc!$L$1:$M$36,2,0)</f>
        <v>Pozo</v>
      </c>
    </row>
    <row r="215" spans="1:22" ht="15" customHeight="1">
      <c r="A215" s="7" t="s">
        <v>158</v>
      </c>
      <c r="B215" s="21" t="s">
        <v>771</v>
      </c>
      <c r="C215" s="8" t="str">
        <f t="shared" si="35"/>
        <v>NCF-156</v>
      </c>
      <c r="D215" s="8">
        <f>+VLOOKUP(C:C,CtrlPozo!$B:$O,13,0)</f>
        <v>4.88</v>
      </c>
      <c r="E215" s="8">
        <f>+VLOOKUP(C:C,CtrlPozo!$B:$O,12,0)</f>
        <v>12.83</v>
      </c>
      <c r="F215" s="11">
        <f t="shared" si="31"/>
        <v>17.71</v>
      </c>
      <c r="G215" s="11">
        <f>IFERROR(VLOOKUP(C:C,CtrlPozo!$B:$O,10,0),"")</f>
        <v>273</v>
      </c>
      <c r="H215" s="9" t="s">
        <v>92</v>
      </c>
      <c r="I215" s="9">
        <f>VLOOKUP(H:H,LP!$A:$C,3,0)</f>
        <v>8.76</v>
      </c>
      <c r="J215" s="10" t="s">
        <v>156</v>
      </c>
      <c r="K215" s="10" t="s">
        <v>90</v>
      </c>
      <c r="L215" s="10" t="str">
        <f t="shared" si="36"/>
        <v>8M</v>
      </c>
      <c r="M215" s="9" t="s">
        <v>109</v>
      </c>
      <c r="N215" s="34">
        <f>HLOOKUP(VLOOKUP(J215,BCConc!$B:$D,3,0),$D$1:$G$259,ROW(B215),0)</f>
        <v>12.83</v>
      </c>
      <c r="O215" s="34"/>
      <c r="P215" s="34"/>
      <c r="Q215" s="34">
        <v>400</v>
      </c>
      <c r="R215" s="58">
        <f t="shared" si="32"/>
        <v>50</v>
      </c>
      <c r="S215" s="58">
        <f t="shared" si="33"/>
        <v>438</v>
      </c>
      <c r="T215" s="58" t="str">
        <f>VLOOKUP(J215,BCConc!$B:$E,4,0)</f>
        <v>IC/CY</v>
      </c>
      <c r="U215" s="58" t="str">
        <f t="shared" si="34"/>
        <v>NCF</v>
      </c>
      <c r="V215" s="58" t="str">
        <f>VLOOKUP(U215,BCConc!$L$1:$M$36,2,0)</f>
        <v>Pozo</v>
      </c>
    </row>
    <row r="216" spans="1:22" ht="15" customHeight="1">
      <c r="A216" s="7" t="s">
        <v>158</v>
      </c>
      <c r="B216" s="21" t="s">
        <v>781</v>
      </c>
      <c r="C216" s="8" t="str">
        <f t="shared" si="35"/>
        <v>NCF-162</v>
      </c>
      <c r="D216" s="8">
        <f>+VLOOKUP(C:C,CtrlPozo!$B:$O,13,0)</f>
        <v>6.43</v>
      </c>
      <c r="E216" s="8">
        <f>+VLOOKUP(C:C,CtrlPozo!$B:$O,12,0)</f>
        <v>75.97</v>
      </c>
      <c r="F216" s="11">
        <f t="shared" si="31"/>
        <v>82.4</v>
      </c>
      <c r="G216" s="11">
        <f>IFERROR(VLOOKUP(C:C,CtrlPozo!$B:$O,10,0),"")</f>
        <v>614</v>
      </c>
      <c r="H216" s="9" t="s">
        <v>92</v>
      </c>
      <c r="I216" s="9">
        <f>VLOOKUP(H:H,LP!$A:$C,3,0)</f>
        <v>8.76</v>
      </c>
      <c r="J216" s="10" t="s">
        <v>156</v>
      </c>
      <c r="K216" s="10" t="s">
        <v>90</v>
      </c>
      <c r="L216" s="10" t="str">
        <f t="shared" si="36"/>
        <v>4M</v>
      </c>
      <c r="M216" s="9" t="s">
        <v>109</v>
      </c>
      <c r="N216" s="34">
        <f>HLOOKUP(VLOOKUP(J216,BCConc!$B:$D,3,0),$D$1:$G$259,ROW(B216),0)</f>
        <v>75.97</v>
      </c>
      <c r="O216" s="34"/>
      <c r="P216" s="34"/>
      <c r="Q216" s="34">
        <v>400</v>
      </c>
      <c r="R216" s="58">
        <f t="shared" si="32"/>
        <v>100</v>
      </c>
      <c r="S216" s="58">
        <f t="shared" si="33"/>
        <v>876</v>
      </c>
      <c r="T216" s="58" t="str">
        <f>VLOOKUP(J216,BCConc!$B:$E,4,0)</f>
        <v>IC/CY</v>
      </c>
      <c r="U216" s="58" t="str">
        <f t="shared" si="34"/>
        <v>NCF</v>
      </c>
      <c r="V216" s="58" t="str">
        <f>VLOOKUP(U216,BCConc!$L$1:$M$36,2,0)</f>
        <v>Pozo</v>
      </c>
    </row>
    <row r="217" spans="1:22" ht="15" customHeight="1">
      <c r="A217" s="7" t="s">
        <v>158</v>
      </c>
      <c r="B217" s="21" t="s">
        <v>775</v>
      </c>
      <c r="C217" s="8" t="str">
        <f t="shared" si="35"/>
        <v>NCF-163</v>
      </c>
      <c r="D217" s="8">
        <f>+VLOOKUP(C:C,CtrlPozo!$B:$O,13,0)</f>
        <v>2.86</v>
      </c>
      <c r="E217" s="8">
        <f>+VLOOKUP(C:C,CtrlPozo!$B:$O,12,0)</f>
        <v>2.69</v>
      </c>
      <c r="F217" s="11">
        <f t="shared" si="31"/>
        <v>5.55</v>
      </c>
      <c r="G217" s="11">
        <f>IFERROR(VLOOKUP(C:C,CtrlPozo!$B:$O,10,0),"")</f>
        <v>26472.49</v>
      </c>
      <c r="H217" s="9" t="s">
        <v>92</v>
      </c>
      <c r="I217" s="9">
        <f>VLOOKUP(H:H,LP!$A:$C,3,0)</f>
        <v>8.76</v>
      </c>
      <c r="J217" s="10" t="s">
        <v>156</v>
      </c>
      <c r="K217" s="10" t="s">
        <v>90</v>
      </c>
      <c r="L217" s="10" t="str">
        <f t="shared" si="36"/>
        <v>8M</v>
      </c>
      <c r="M217" s="9" t="s">
        <v>109</v>
      </c>
      <c r="N217" s="34">
        <f>HLOOKUP(VLOOKUP(J217,BCConc!$B:$D,3,0),$D$1:$G$259,ROW(B217),0)</f>
        <v>2.69</v>
      </c>
      <c r="O217" s="34"/>
      <c r="P217" s="34"/>
      <c r="Q217" s="34">
        <v>400</v>
      </c>
      <c r="R217" s="58">
        <f t="shared" si="32"/>
        <v>50</v>
      </c>
      <c r="S217" s="58">
        <f t="shared" si="33"/>
        <v>438</v>
      </c>
      <c r="T217" s="58" t="str">
        <f>VLOOKUP(J217,BCConc!$B:$E,4,0)</f>
        <v>IC/CY</v>
      </c>
      <c r="U217" s="58" t="str">
        <f t="shared" si="34"/>
        <v>NCF</v>
      </c>
      <c r="V217" s="58" t="str">
        <f>VLOOKUP(U217,BCConc!$L$1:$M$36,2,0)</f>
        <v>Pozo</v>
      </c>
    </row>
    <row r="218" spans="1:22" ht="15" customHeight="1">
      <c r="A218" s="7" t="s">
        <v>158</v>
      </c>
      <c r="B218" s="21" t="s">
        <v>791</v>
      </c>
      <c r="C218" s="8" t="str">
        <f t="shared" si="35"/>
        <v>NCF-164</v>
      </c>
      <c r="D218" s="8">
        <f>+VLOOKUP(C:C,CtrlPozo!$B:$O,13,0)</f>
        <v>0.11</v>
      </c>
      <c r="E218" s="8">
        <f>+VLOOKUP(C:C,CtrlPozo!$B:$O,12,0)</f>
        <v>13.7</v>
      </c>
      <c r="F218" s="11">
        <f t="shared" si="31"/>
        <v>13.809999999999999</v>
      </c>
      <c r="G218" s="11">
        <f>IFERROR(VLOOKUP(C:C,CtrlPozo!$B:$O,10,0),"")</f>
        <v>348</v>
      </c>
      <c r="H218" s="9" t="s">
        <v>92</v>
      </c>
      <c r="I218" s="9">
        <f>VLOOKUP(H:H,LP!$A:$C,3,0)</f>
        <v>8.76</v>
      </c>
      <c r="J218" s="10" t="s">
        <v>156</v>
      </c>
      <c r="K218" s="10" t="s">
        <v>90</v>
      </c>
      <c r="L218" s="10" t="str">
        <f t="shared" si="36"/>
        <v>8M</v>
      </c>
      <c r="M218" s="9" t="s">
        <v>109</v>
      </c>
      <c r="N218" s="34">
        <f>HLOOKUP(VLOOKUP(J218,BCConc!$B:$D,3,0),$D$1:$G$259,ROW(B218),0)</f>
        <v>13.7</v>
      </c>
      <c r="O218" s="34"/>
      <c r="P218" s="34"/>
      <c r="Q218" s="34">
        <v>400</v>
      </c>
      <c r="R218" s="58">
        <f t="shared" si="32"/>
        <v>50</v>
      </c>
      <c r="S218" s="58">
        <f t="shared" si="33"/>
        <v>438</v>
      </c>
      <c r="T218" s="58" t="str">
        <f>VLOOKUP(J218,BCConc!$B:$E,4,0)</f>
        <v>IC/CY</v>
      </c>
      <c r="U218" s="58" t="str">
        <f t="shared" si="34"/>
        <v>NCF</v>
      </c>
      <c r="V218" s="58" t="str">
        <f>VLOOKUP(U218,BCConc!$L$1:$M$36,2,0)</f>
        <v>Pozo</v>
      </c>
    </row>
    <row r="219" spans="1:22" ht="15" customHeight="1">
      <c r="A219" s="7" t="s">
        <v>158</v>
      </c>
      <c r="B219" s="21" t="s">
        <v>787</v>
      </c>
      <c r="C219" s="8" t="str">
        <f t="shared" si="35"/>
        <v>NCF-169</v>
      </c>
      <c r="D219" s="8">
        <f>+VLOOKUP(C:C,CtrlPozo!$B:$O,13,0)</f>
        <v>6.85</v>
      </c>
      <c r="E219" s="8">
        <f>+VLOOKUP(C:C,CtrlPozo!$B:$O,12,0)</f>
        <v>37.56</v>
      </c>
      <c r="F219" s="11">
        <f t="shared" si="31"/>
        <v>44.410000000000004</v>
      </c>
      <c r="G219" s="11">
        <f>IFERROR(VLOOKUP(C:C,CtrlPozo!$B:$O,10,0),"")</f>
        <v>133</v>
      </c>
      <c r="H219" s="9" t="s">
        <v>92</v>
      </c>
      <c r="I219" s="9">
        <f>VLOOKUP(H:H,LP!$A:$C,3,0)</f>
        <v>8.76</v>
      </c>
      <c r="J219" s="10" t="s">
        <v>156</v>
      </c>
      <c r="K219" s="10" t="s">
        <v>90</v>
      </c>
      <c r="L219" s="10" t="str">
        <f t="shared" si="36"/>
        <v>6M</v>
      </c>
      <c r="M219" s="9" t="s">
        <v>109</v>
      </c>
      <c r="N219" s="34">
        <f>HLOOKUP(VLOOKUP(J219,BCConc!$B:$D,3,0),$D$1:$G$259,ROW(B219),0)</f>
        <v>37.56</v>
      </c>
      <c r="O219" s="34"/>
      <c r="P219" s="34"/>
      <c r="Q219" s="34">
        <v>400</v>
      </c>
      <c r="R219" s="58">
        <f t="shared" si="32"/>
        <v>66.666666666666671</v>
      </c>
      <c r="S219" s="58">
        <f t="shared" si="33"/>
        <v>584</v>
      </c>
      <c r="T219" s="58" t="str">
        <f>VLOOKUP(J219,BCConc!$B:$E,4,0)</f>
        <v>IC/CY</v>
      </c>
      <c r="U219" s="58" t="str">
        <f t="shared" si="34"/>
        <v>NCF</v>
      </c>
      <c r="V219" s="58" t="str">
        <f>VLOOKUP(U219,BCConc!$L$1:$M$36,2,0)</f>
        <v>Pozo</v>
      </c>
    </row>
    <row r="220" spans="1:22" ht="15" customHeight="1">
      <c r="A220" s="7" t="s">
        <v>158</v>
      </c>
      <c r="B220" s="21" t="s">
        <v>838</v>
      </c>
      <c r="C220" s="8" t="str">
        <f t="shared" si="35"/>
        <v>NCF-170</v>
      </c>
      <c r="D220" s="8">
        <f>+VLOOKUP(C:C,CtrlPozo!$B:$O,13,0)</f>
        <v>3.99</v>
      </c>
      <c r="E220" s="8">
        <f>+VLOOKUP(C:C,CtrlPozo!$B:$O,12,0)</f>
        <v>2.92</v>
      </c>
      <c r="F220" s="11">
        <f t="shared" si="31"/>
        <v>6.91</v>
      </c>
      <c r="G220" s="11">
        <f>IFERROR(VLOOKUP(C:C,CtrlPozo!$B:$O,10,0),"")</f>
        <v>16629.400000000001</v>
      </c>
      <c r="H220" s="9" t="s">
        <v>92</v>
      </c>
      <c r="I220" s="9">
        <f>VLOOKUP(H:H,LP!$A:$C,3,0)</f>
        <v>8.76</v>
      </c>
      <c r="J220" s="10" t="s">
        <v>156</v>
      </c>
      <c r="K220" s="10" t="s">
        <v>90</v>
      </c>
      <c r="L220" s="10" t="str">
        <f t="shared" si="36"/>
        <v>8M</v>
      </c>
      <c r="M220" s="9" t="s">
        <v>109</v>
      </c>
      <c r="N220" s="34">
        <f>HLOOKUP(VLOOKUP(J220,BCConc!$B:$D,3,0),$D$1:$G$259,ROW(B220),0)</f>
        <v>2.92</v>
      </c>
      <c r="O220" s="34"/>
      <c r="P220" s="34"/>
      <c r="Q220" s="34">
        <v>400</v>
      </c>
      <c r="R220" s="58">
        <f t="shared" si="32"/>
        <v>50</v>
      </c>
      <c r="S220" s="58">
        <f t="shared" si="33"/>
        <v>438</v>
      </c>
      <c r="T220" s="58" t="str">
        <f>VLOOKUP(J220,BCConc!$B:$E,4,0)</f>
        <v>IC/CY</v>
      </c>
      <c r="U220" s="58" t="str">
        <f t="shared" si="34"/>
        <v>NCF</v>
      </c>
      <c r="V220" s="58" t="str">
        <f>VLOOKUP(U220,BCConc!$L$1:$M$36,2,0)</f>
        <v>Pozo</v>
      </c>
    </row>
    <row r="221" spans="1:22" ht="15" customHeight="1">
      <c r="A221" s="7" t="s">
        <v>158</v>
      </c>
      <c r="B221" s="21" t="s">
        <v>834</v>
      </c>
      <c r="C221" s="8" t="str">
        <f t="shared" si="35"/>
        <v>NCF-173</v>
      </c>
      <c r="D221" s="8">
        <f>+VLOOKUP(C:C,CtrlPozo!$B:$O,13,0)</f>
        <v>2.2000000000000002</v>
      </c>
      <c r="E221" s="8">
        <f>+VLOOKUP(C:C,CtrlPozo!$B:$O,12,0)</f>
        <v>1.94</v>
      </c>
      <c r="F221" s="11">
        <f t="shared" si="31"/>
        <v>4.1400000000000006</v>
      </c>
      <c r="G221" s="11">
        <f>IFERROR(VLOOKUP(C:C,CtrlPozo!$B:$O,10,0),"")</f>
        <v>3971</v>
      </c>
      <c r="H221" s="9" t="s">
        <v>143</v>
      </c>
      <c r="I221" s="9">
        <f>VLOOKUP(H:H,LP!$A:$C,3,0)</f>
        <v>10.975</v>
      </c>
      <c r="J221" s="10" t="s">
        <v>156</v>
      </c>
      <c r="K221" s="10" t="s">
        <v>90</v>
      </c>
      <c r="L221" s="10" t="str">
        <f t="shared" si="36"/>
        <v>8M</v>
      </c>
      <c r="M221" s="9" t="s">
        <v>109</v>
      </c>
      <c r="N221" s="34">
        <f>HLOOKUP(VLOOKUP(J221,BCConc!$B:$D,3,0),$D$1:$G$259,ROW(B221),0)</f>
        <v>1.94</v>
      </c>
      <c r="O221" s="34"/>
      <c r="P221" s="34"/>
      <c r="Q221" s="34">
        <v>400</v>
      </c>
      <c r="R221" s="58">
        <f t="shared" si="32"/>
        <v>50</v>
      </c>
      <c r="S221" s="58">
        <f t="shared" si="33"/>
        <v>548.75</v>
      </c>
      <c r="T221" s="58" t="str">
        <f>VLOOKUP(J221,BCConc!$B:$E,4,0)</f>
        <v>IC/CY</v>
      </c>
      <c r="U221" s="58" t="str">
        <f t="shared" si="34"/>
        <v>NCF</v>
      </c>
      <c r="V221" s="58" t="str">
        <f>VLOOKUP(U221,BCConc!$L$1:$M$36,2,0)</f>
        <v>Pozo</v>
      </c>
    </row>
    <row r="222" spans="1:22" ht="15" customHeight="1">
      <c r="A222" s="7" t="s">
        <v>158</v>
      </c>
      <c r="B222" s="21" t="s">
        <v>804</v>
      </c>
      <c r="C222" s="8" t="str">
        <f t="shared" si="35"/>
        <v>NCF-178</v>
      </c>
      <c r="D222" s="8">
        <f>+VLOOKUP(C:C,CtrlPozo!$B:$O,13,0)</f>
        <v>3.86</v>
      </c>
      <c r="E222" s="8">
        <f>+VLOOKUP(C:C,CtrlPozo!$B:$O,12,0)</f>
        <v>4.62</v>
      </c>
      <c r="F222" s="11">
        <f t="shared" si="31"/>
        <v>8.48</v>
      </c>
      <c r="G222" s="11">
        <f>IFERROR(VLOOKUP(C:C,CtrlPozo!$B:$O,10,0),"")</f>
        <v>9302.75</v>
      </c>
      <c r="H222" s="9" t="s">
        <v>91</v>
      </c>
      <c r="I222" s="9">
        <f>VLOOKUP(H:H,LP!$A:$C,3,0)</f>
        <v>10.58</v>
      </c>
      <c r="J222" s="12" t="s">
        <v>12</v>
      </c>
      <c r="K222" s="10" t="s">
        <v>90</v>
      </c>
      <c r="L222" s="10" t="str">
        <f t="shared" si="36"/>
        <v>8M</v>
      </c>
      <c r="M222" s="9" t="s">
        <v>109</v>
      </c>
      <c r="N222" s="34">
        <f>HLOOKUP(VLOOKUP(J222,BCConc!$B:$D,3,0),$D$1:$G$259,ROW(B222),0)</f>
        <v>4.62</v>
      </c>
      <c r="O222" s="34"/>
      <c r="P222" s="34"/>
      <c r="Q222" s="34">
        <v>200</v>
      </c>
      <c r="R222" s="58">
        <f t="shared" si="32"/>
        <v>25</v>
      </c>
      <c r="S222" s="58">
        <f t="shared" si="33"/>
        <v>264.5</v>
      </c>
      <c r="T222" s="58" t="str">
        <f>VLOOKUP(J222,BCConc!$B:$E,4,0)</f>
        <v>IC</v>
      </c>
      <c r="U222" s="58" t="str">
        <f t="shared" si="34"/>
        <v>NCF</v>
      </c>
      <c r="V222" s="58" t="str">
        <f>VLOOKUP(U222,BCConc!$L$1:$M$36,2,0)</f>
        <v>Pozo</v>
      </c>
    </row>
    <row r="223" spans="1:22" ht="15" customHeight="1">
      <c r="A223" s="7" t="s">
        <v>158</v>
      </c>
      <c r="B223" s="21" t="s">
        <v>982</v>
      </c>
      <c r="C223" s="8" t="str">
        <f t="shared" si="35"/>
        <v>CF-213(d)</v>
      </c>
      <c r="D223" s="8">
        <f>+VLOOKUP(C:C,CtrlPozo!$B:$O,13,0)</f>
        <v>1.21</v>
      </c>
      <c r="E223" s="8">
        <f>+VLOOKUP(C:C,CtrlPozo!$B:$O,12,0)</f>
        <v>0.81</v>
      </c>
      <c r="F223" s="11">
        <f t="shared" si="31"/>
        <v>2.02</v>
      </c>
      <c r="G223" s="11">
        <f>IFERROR(VLOOKUP(C:C,CtrlPozo!$B:$O,10,0),"")</f>
        <v>68</v>
      </c>
      <c r="H223" s="9" t="s">
        <v>92</v>
      </c>
      <c r="I223" s="9">
        <f>VLOOKUP(H:H,LP!$A:$C,3,0)</f>
        <v>8.76</v>
      </c>
      <c r="J223" s="10" t="s">
        <v>156</v>
      </c>
      <c r="K223" s="10" t="s">
        <v>90</v>
      </c>
      <c r="L223" s="10" t="str">
        <f t="shared" si="36"/>
        <v>8M</v>
      </c>
      <c r="M223" s="9" t="s">
        <v>109</v>
      </c>
      <c r="N223" s="34">
        <f>HLOOKUP(VLOOKUP(J223,BCConc!$B:$D,3,0),$D$1:$G$259,ROW(B223),0)</f>
        <v>0.81</v>
      </c>
      <c r="O223" s="34"/>
      <c r="P223" s="34"/>
      <c r="Q223" s="34">
        <v>400</v>
      </c>
      <c r="R223" s="58">
        <f t="shared" si="32"/>
        <v>50</v>
      </c>
      <c r="S223" s="58">
        <f t="shared" si="33"/>
        <v>438</v>
      </c>
      <c r="T223" s="58" t="str">
        <f>VLOOKUP(J223,BCConc!$B:$E,4,0)</f>
        <v>IC/CY</v>
      </c>
      <c r="U223" s="58" t="str">
        <f t="shared" si="34"/>
        <v>CF-</v>
      </c>
      <c r="V223" s="58" t="str">
        <f>VLOOKUP(U223,BCConc!$L$1:$M$36,2,0)</f>
        <v>Pozo</v>
      </c>
    </row>
    <row r="224" spans="1:22" ht="15" customHeight="1">
      <c r="A224" s="7" t="s">
        <v>158</v>
      </c>
      <c r="B224" s="21" t="s">
        <v>986</v>
      </c>
      <c r="C224" s="8" t="str">
        <f t="shared" si="35"/>
        <v>CF-215(d)</v>
      </c>
      <c r="D224" s="8">
        <f>+VLOOKUP(C:C,CtrlPozo!$B:$O,13,0)</f>
        <v>3.2</v>
      </c>
      <c r="E224" s="8">
        <f>+VLOOKUP(C:C,CtrlPozo!$B:$O,12,0)</f>
        <v>5.36</v>
      </c>
      <c r="F224" s="11">
        <f t="shared" si="31"/>
        <v>8.56</v>
      </c>
      <c r="G224" s="11">
        <f>IFERROR(VLOOKUP(C:C,CtrlPozo!$B:$O,10,0),"")</f>
        <v>1188</v>
      </c>
      <c r="H224" s="9" t="s">
        <v>92</v>
      </c>
      <c r="I224" s="9">
        <f>VLOOKUP(H:H,LP!$A:$C,3,0)</f>
        <v>8.76</v>
      </c>
      <c r="J224" s="10" t="s">
        <v>156</v>
      </c>
      <c r="K224" s="10" t="s">
        <v>90</v>
      </c>
      <c r="L224" s="10" t="str">
        <f t="shared" si="36"/>
        <v>8M</v>
      </c>
      <c r="M224" s="9" t="s">
        <v>109</v>
      </c>
      <c r="N224" s="34">
        <f>HLOOKUP(VLOOKUP(J224,BCConc!$B:$D,3,0),$D$1:$G$259,ROW(B224),0)</f>
        <v>5.36</v>
      </c>
      <c r="O224" s="34"/>
      <c r="P224" s="34"/>
      <c r="Q224" s="34">
        <v>400</v>
      </c>
      <c r="R224" s="58">
        <f t="shared" si="32"/>
        <v>50</v>
      </c>
      <c r="S224" s="58">
        <f t="shared" si="33"/>
        <v>438</v>
      </c>
      <c r="T224" s="58" t="str">
        <f>VLOOKUP(J224,BCConc!$B:$E,4,0)</f>
        <v>IC/CY</v>
      </c>
      <c r="U224" s="58" t="str">
        <f t="shared" si="34"/>
        <v>CF-</v>
      </c>
      <c r="V224" s="58" t="str">
        <f>VLOOKUP(U224,BCConc!$L$1:$M$36,2,0)</f>
        <v>Pozo</v>
      </c>
    </row>
    <row r="225" spans="1:22" ht="15" customHeight="1">
      <c r="A225" s="7" t="s">
        <v>158</v>
      </c>
      <c r="B225" s="21" t="s">
        <v>965</v>
      </c>
      <c r="C225" s="8" t="str">
        <f t="shared" si="35"/>
        <v>NCF-216</v>
      </c>
      <c r="D225" s="8">
        <f>+VLOOKUP(C:C,CtrlPozo!$B:$O,13,0)</f>
        <v>16.420000000000002</v>
      </c>
      <c r="E225" s="8">
        <f>+VLOOKUP(C:C,CtrlPozo!$B:$O,12,0)</f>
        <v>10.199999999999999</v>
      </c>
      <c r="F225" s="11">
        <f t="shared" si="31"/>
        <v>26.62</v>
      </c>
      <c r="G225" s="11">
        <f>IFERROR(VLOOKUP(C:C,CtrlPozo!$B:$O,10,0),"")</f>
        <v>6100</v>
      </c>
      <c r="H225" s="9" t="s">
        <v>92</v>
      </c>
      <c r="I225" s="9">
        <f>VLOOKUP(H:H,LP!$A:$C,3,0)</f>
        <v>8.76</v>
      </c>
      <c r="J225" s="10" t="s">
        <v>156</v>
      </c>
      <c r="K225" s="10" t="s">
        <v>90</v>
      </c>
      <c r="L225" s="10" t="str">
        <f t="shared" si="36"/>
        <v>8M</v>
      </c>
      <c r="M225" s="9" t="s">
        <v>109</v>
      </c>
      <c r="N225" s="34">
        <f>HLOOKUP(VLOOKUP(J225,BCConc!$B:$D,3,0),$D$1:$G$259,ROW(B225),0)</f>
        <v>10.199999999999999</v>
      </c>
      <c r="O225" s="34"/>
      <c r="P225" s="34"/>
      <c r="Q225" s="34">
        <v>400</v>
      </c>
      <c r="R225" s="58">
        <f t="shared" si="32"/>
        <v>50</v>
      </c>
      <c r="S225" s="58">
        <f t="shared" si="33"/>
        <v>438</v>
      </c>
      <c r="T225" s="58" t="str">
        <f>VLOOKUP(J225,BCConc!$B:$E,4,0)</f>
        <v>IC/CY</v>
      </c>
      <c r="U225" s="58" t="str">
        <f t="shared" si="34"/>
        <v>NCF</v>
      </c>
      <c r="V225" s="58" t="str">
        <f>VLOOKUP(U225,BCConc!$L$1:$M$36,2,0)</f>
        <v>Pozo</v>
      </c>
    </row>
    <row r="226" spans="1:22" ht="15" customHeight="1">
      <c r="A226" s="7" t="s">
        <v>158</v>
      </c>
      <c r="B226" s="21" t="s">
        <v>1098</v>
      </c>
      <c r="C226" s="8" t="str">
        <f t="shared" si="35"/>
        <v>CF-234(d)</v>
      </c>
      <c r="D226" s="8">
        <f>+VLOOKUP(C:C,CtrlPozo!$B:$O,13,0)</f>
        <v>4.12</v>
      </c>
      <c r="E226" s="8">
        <f>+VLOOKUP(C:C,CtrlPozo!$B:$O,12,0)</f>
        <v>1.62</v>
      </c>
      <c r="F226" s="11">
        <f t="shared" si="31"/>
        <v>5.74</v>
      </c>
      <c r="G226" s="11">
        <f>IFERROR(VLOOKUP(C:C,CtrlPozo!$B:$O,10,0),"")</f>
        <v>15768.56</v>
      </c>
      <c r="H226" s="9" t="s">
        <v>92</v>
      </c>
      <c r="I226" s="9">
        <f>VLOOKUP(H:H,LP!$A:$C,3,0)</f>
        <v>8.76</v>
      </c>
      <c r="J226" s="10" t="s">
        <v>156</v>
      </c>
      <c r="K226" s="10" t="s">
        <v>90</v>
      </c>
      <c r="L226" s="10" t="str">
        <f t="shared" si="36"/>
        <v>8M</v>
      </c>
      <c r="M226" s="9" t="s">
        <v>109</v>
      </c>
      <c r="N226" s="34">
        <f>HLOOKUP(VLOOKUP(J226,BCConc!$B:$D,3,0),$D$1:$G$259,ROW(B226),0)</f>
        <v>1.62</v>
      </c>
      <c r="O226" s="34"/>
      <c r="P226" s="34"/>
      <c r="Q226" s="34">
        <v>400</v>
      </c>
      <c r="R226" s="58">
        <f t="shared" si="32"/>
        <v>50</v>
      </c>
      <c r="S226" s="58">
        <f t="shared" si="33"/>
        <v>438</v>
      </c>
      <c r="T226" s="58" t="str">
        <f>VLOOKUP(J226,BCConc!$B:$E,4,0)</f>
        <v>IC/CY</v>
      </c>
      <c r="U226" s="58" t="str">
        <f t="shared" si="34"/>
        <v>CF-</v>
      </c>
      <c r="V226" s="58" t="str">
        <f>VLOOKUP(U226,BCConc!$L$1:$M$36,2,0)</f>
        <v>Pozo</v>
      </c>
    </row>
    <row r="227" spans="1:22" ht="15" customHeight="1">
      <c r="A227" s="7" t="s">
        <v>158</v>
      </c>
      <c r="B227" s="21" t="s">
        <v>1067</v>
      </c>
      <c r="C227" s="8" t="str">
        <f t="shared" si="35"/>
        <v>CF-239(d)</v>
      </c>
      <c r="D227" s="8">
        <f>+VLOOKUP(C:C,CtrlPozo!$B:$O,13,0)</f>
        <v>0.48</v>
      </c>
      <c r="E227" s="8">
        <f>+VLOOKUP(C:C,CtrlPozo!$B:$O,12,0)</f>
        <v>48.51</v>
      </c>
      <c r="F227" s="11">
        <f t="shared" si="31"/>
        <v>48.989999999999995</v>
      </c>
      <c r="G227" s="11">
        <f>IFERROR(VLOOKUP(C:C,CtrlPozo!$B:$O,10,0),"")</f>
        <v>613</v>
      </c>
      <c r="H227" s="9" t="s">
        <v>92</v>
      </c>
      <c r="I227" s="9">
        <f>VLOOKUP(H:H,LP!$A:$C,3,0)</f>
        <v>8.76</v>
      </c>
      <c r="J227" s="10" t="s">
        <v>156</v>
      </c>
      <c r="K227" s="10" t="s">
        <v>90</v>
      </c>
      <c r="L227" s="10" t="str">
        <f t="shared" si="36"/>
        <v>6M</v>
      </c>
      <c r="M227" s="9" t="s">
        <v>109</v>
      </c>
      <c r="N227" s="34">
        <f>HLOOKUP(VLOOKUP(J227,BCConc!$B:$D,3,0),$D$1:$G$259,ROW(B227),0)</f>
        <v>48.51</v>
      </c>
      <c r="O227" s="34"/>
      <c r="P227" s="34"/>
      <c r="Q227" s="34">
        <v>400</v>
      </c>
      <c r="R227" s="58">
        <f t="shared" si="32"/>
        <v>66.666666666666671</v>
      </c>
      <c r="S227" s="58">
        <f t="shared" si="33"/>
        <v>584</v>
      </c>
      <c r="T227" s="58" t="str">
        <f>VLOOKUP(J227,BCConc!$B:$E,4,0)</f>
        <v>IC/CY</v>
      </c>
      <c r="U227" s="58" t="str">
        <f t="shared" si="34"/>
        <v>CF-</v>
      </c>
      <c r="V227" s="58" t="str">
        <f>VLOOKUP(U227,BCConc!$L$1:$M$36,2,0)</f>
        <v>Pozo</v>
      </c>
    </row>
    <row r="228" spans="1:22" ht="15" customHeight="1">
      <c r="A228" s="7" t="s">
        <v>158</v>
      </c>
      <c r="B228" s="21" t="s">
        <v>1084</v>
      </c>
      <c r="C228" s="8" t="str">
        <f t="shared" si="35"/>
        <v>CF-248(d)</v>
      </c>
      <c r="D228" s="8">
        <f>+VLOOKUP(C:C,CtrlPozo!$B:$O,13,0)</f>
        <v>4.72</v>
      </c>
      <c r="E228" s="8">
        <f>+VLOOKUP(C:C,CtrlPozo!$B:$O,12,0)</f>
        <v>10.42</v>
      </c>
      <c r="F228" s="11">
        <f t="shared" si="31"/>
        <v>15.14</v>
      </c>
      <c r="G228" s="11">
        <f>IFERROR(VLOOKUP(C:C,CtrlPozo!$B:$O,10,0),"")</f>
        <v>218</v>
      </c>
      <c r="H228" s="9" t="s">
        <v>92</v>
      </c>
      <c r="I228" s="9">
        <f>VLOOKUP(H:H,LP!$A:$C,3,0)</f>
        <v>8.76</v>
      </c>
      <c r="J228" s="10" t="s">
        <v>156</v>
      </c>
      <c r="K228" s="10" t="s">
        <v>90</v>
      </c>
      <c r="L228" s="10" t="str">
        <f t="shared" si="36"/>
        <v>8M</v>
      </c>
      <c r="M228" s="9" t="s">
        <v>109</v>
      </c>
      <c r="N228" s="34">
        <f>HLOOKUP(VLOOKUP(J228,BCConc!$B:$D,3,0),$D$1:$G$259,ROW(B228),0)</f>
        <v>10.42</v>
      </c>
      <c r="O228" s="34"/>
      <c r="P228" s="34"/>
      <c r="Q228" s="34">
        <v>400</v>
      </c>
      <c r="R228" s="58">
        <f t="shared" si="32"/>
        <v>50</v>
      </c>
      <c r="S228" s="58">
        <f t="shared" si="33"/>
        <v>438</v>
      </c>
      <c r="T228" s="58" t="str">
        <f>VLOOKUP(J228,BCConc!$B:$E,4,0)</f>
        <v>IC/CY</v>
      </c>
      <c r="U228" s="58" t="str">
        <f t="shared" si="34"/>
        <v>CF-</v>
      </c>
      <c r="V228" s="58" t="str">
        <f>VLOOKUP(U228,BCConc!$L$1:$M$36,2,0)</f>
        <v>Pozo</v>
      </c>
    </row>
    <row r="229" spans="1:22" ht="15" customHeight="1">
      <c r="A229" s="7" t="s">
        <v>158</v>
      </c>
      <c r="B229" s="21" t="s">
        <v>1061</v>
      </c>
      <c r="C229" s="8" t="str">
        <f t="shared" si="35"/>
        <v>CF-249(d)</v>
      </c>
      <c r="D229" s="8">
        <f>+VLOOKUP(C:C,CtrlPozo!$B:$O,13,0)</f>
        <v>6.59</v>
      </c>
      <c r="E229" s="8">
        <f>+VLOOKUP(C:C,CtrlPozo!$B:$O,12,0)</f>
        <v>38.299999999999997</v>
      </c>
      <c r="F229" s="11">
        <f t="shared" si="31"/>
        <v>44.89</v>
      </c>
      <c r="G229" s="11">
        <f>IFERROR(VLOOKUP(C:C,CtrlPozo!$B:$O,10,0),"")</f>
        <v>673.6</v>
      </c>
      <c r="H229" s="9" t="s">
        <v>91</v>
      </c>
      <c r="I229" s="9">
        <f>VLOOKUP(H:H,LP!$A:$C,3,0)</f>
        <v>10.58</v>
      </c>
      <c r="J229" s="12" t="s">
        <v>12</v>
      </c>
      <c r="K229" s="10" t="s">
        <v>90</v>
      </c>
      <c r="L229" s="10" t="str">
        <f t="shared" ref="L229:L259" si="37">IF(N229&lt;25,"8M",IF(N229&lt;50,"6M",IF(N229&lt;100,"4M","3M")))</f>
        <v>6M</v>
      </c>
      <c r="M229" s="9" t="s">
        <v>109</v>
      </c>
      <c r="N229" s="34">
        <f>HLOOKUP(VLOOKUP(J229,BCConc!$B:$D,3,0),$D$1:$G$259,ROW(B229),0)</f>
        <v>38.299999999999997</v>
      </c>
      <c r="O229" s="34"/>
      <c r="P229" s="34"/>
      <c r="Q229" s="34">
        <v>200</v>
      </c>
      <c r="R229" s="58">
        <f t="shared" si="32"/>
        <v>33.333333333333336</v>
      </c>
      <c r="S229" s="58">
        <f t="shared" si="33"/>
        <v>352.66666666666669</v>
      </c>
      <c r="T229" s="58" t="str">
        <f>VLOOKUP(J229,BCConc!$B:$E,4,0)</f>
        <v>IC</v>
      </c>
      <c r="U229" s="58" t="str">
        <f t="shared" si="34"/>
        <v>CF-</v>
      </c>
      <c r="V229" s="58" t="str">
        <f>VLOOKUP(U229,BCConc!$L$1:$M$36,2,0)</f>
        <v>Pozo</v>
      </c>
    </row>
    <row r="230" spans="1:22" ht="15" customHeight="1">
      <c r="A230" s="7" t="s">
        <v>158</v>
      </c>
      <c r="B230" s="21" t="s">
        <v>716</v>
      </c>
      <c r="C230" s="8" t="str">
        <f t="shared" si="35"/>
        <v>NCFS.a-4</v>
      </c>
      <c r="D230" s="8">
        <f>+VLOOKUP(C:C,CtrlPozo!$B:$O,13,0)</f>
        <v>4.4800000000000004</v>
      </c>
      <c r="E230" s="8">
        <f>+VLOOKUP(C:C,CtrlPozo!$B:$O,12,0)</f>
        <v>14.12</v>
      </c>
      <c r="F230" s="11">
        <f t="shared" si="31"/>
        <v>18.600000000000001</v>
      </c>
      <c r="G230" s="11">
        <f>IFERROR(VLOOKUP(C:C,CtrlPozo!$B:$O,10,0),"")</f>
        <v>44173.95</v>
      </c>
      <c r="H230" s="9" t="s">
        <v>92</v>
      </c>
      <c r="I230" s="9">
        <f>VLOOKUP(H:H,LP!$A:$C,3,0)</f>
        <v>8.76</v>
      </c>
      <c r="J230" s="10" t="s">
        <v>156</v>
      </c>
      <c r="K230" s="10" t="s">
        <v>90</v>
      </c>
      <c r="L230" s="10" t="str">
        <f t="shared" si="37"/>
        <v>8M</v>
      </c>
      <c r="M230" s="9" t="s">
        <v>109</v>
      </c>
      <c r="N230" s="34">
        <f>HLOOKUP(VLOOKUP(J230,BCConc!$B:$D,3,0),$D$1:$G$259,ROW(B230),0)</f>
        <v>14.12</v>
      </c>
      <c r="O230" s="34"/>
      <c r="P230" s="34"/>
      <c r="Q230" s="34">
        <v>400</v>
      </c>
      <c r="R230" s="58">
        <f t="shared" si="32"/>
        <v>50</v>
      </c>
      <c r="S230" s="58">
        <f t="shared" si="33"/>
        <v>438</v>
      </c>
      <c r="T230" s="58" t="str">
        <f>VLOOKUP(J230,BCConc!$B:$E,4,0)</f>
        <v>IC/CY</v>
      </c>
      <c r="U230" s="58" t="str">
        <f t="shared" si="34"/>
        <v>NCF</v>
      </c>
      <c r="V230" s="58" t="str">
        <f>VLOOKUP(U230,BCConc!$L$1:$M$36,2,0)</f>
        <v>Pozo</v>
      </c>
    </row>
    <row r="231" spans="1:22" ht="15" customHeight="1">
      <c r="A231" s="7" t="s">
        <v>158</v>
      </c>
      <c r="B231" s="21" t="s">
        <v>1026</v>
      </c>
      <c r="C231" s="8" t="str">
        <f t="shared" si="35"/>
        <v>CFS.a-9</v>
      </c>
      <c r="D231" s="8">
        <f>+VLOOKUP(C:C,CtrlPozo!$B:$O,13,0)</f>
        <v>0.17</v>
      </c>
      <c r="E231" s="8">
        <f>+VLOOKUP(C:C,CtrlPozo!$B:$O,12,0)</f>
        <v>16.82</v>
      </c>
      <c r="F231" s="11">
        <f t="shared" si="31"/>
        <v>16.990000000000002</v>
      </c>
      <c r="G231" s="11">
        <f>IFERROR(VLOOKUP(C:C,CtrlPozo!$B:$O,10,0),"")</f>
        <v>100</v>
      </c>
      <c r="H231" s="9" t="s">
        <v>92</v>
      </c>
      <c r="I231" s="9">
        <f>VLOOKUP(H:H,LP!$A:$C,3,0)</f>
        <v>8.76</v>
      </c>
      <c r="J231" s="10" t="s">
        <v>156</v>
      </c>
      <c r="K231" s="10" t="s">
        <v>90</v>
      </c>
      <c r="L231" s="10" t="str">
        <f t="shared" si="37"/>
        <v>8M</v>
      </c>
      <c r="M231" s="9" t="s">
        <v>109</v>
      </c>
      <c r="N231" s="34">
        <f>HLOOKUP(VLOOKUP(J231,BCConc!$B:$D,3,0),$D$1:$G$259,ROW(B231),0)</f>
        <v>16.82</v>
      </c>
      <c r="O231" s="34"/>
      <c r="P231" s="34"/>
      <c r="Q231" s="34">
        <v>400</v>
      </c>
      <c r="R231" s="58">
        <f t="shared" si="32"/>
        <v>50</v>
      </c>
      <c r="S231" s="58">
        <f t="shared" si="33"/>
        <v>438</v>
      </c>
      <c r="T231" s="58" t="str">
        <f>VLOOKUP(J231,BCConc!$B:$E,4,0)</f>
        <v>IC/CY</v>
      </c>
      <c r="U231" s="58" t="str">
        <f t="shared" si="34"/>
        <v>CFS</v>
      </c>
      <c r="V231" s="58" t="str">
        <f>VLOOKUP(U231,BCConc!$L$1:$M$36,2,0)</f>
        <v>Pozo</v>
      </c>
    </row>
    <row r="232" spans="1:22" ht="15" customHeight="1">
      <c r="A232" s="33" t="s">
        <v>159</v>
      </c>
      <c r="B232" s="21" t="s">
        <v>900</v>
      </c>
      <c r="C232" s="18" t="str">
        <f>B232</f>
        <v>NLA-19</v>
      </c>
      <c r="D232" s="8">
        <f>+VLOOKUP(C:C,CtrlPozo!$B:$O,13,0)</f>
        <v>0.04</v>
      </c>
      <c r="E232" s="8">
        <f>+VLOOKUP(C:C,CtrlPozo!$B:$O,12,0)</f>
        <v>39.96</v>
      </c>
      <c r="F232" s="11">
        <f t="shared" si="31"/>
        <v>40</v>
      </c>
      <c r="G232" s="11">
        <f>IFERROR(VLOOKUP(C:C,CtrlPozo!$B:$O,10,0),"")</f>
        <v>200</v>
      </c>
      <c r="H232" s="9" t="s">
        <v>92</v>
      </c>
      <c r="I232" s="9">
        <f>VLOOKUP(H:H,LP!$A:$C,3,0)</f>
        <v>8.76</v>
      </c>
      <c r="J232" s="10" t="s">
        <v>156</v>
      </c>
      <c r="K232" s="10" t="s">
        <v>90</v>
      </c>
      <c r="L232" s="10" t="str">
        <f t="shared" si="37"/>
        <v>6M</v>
      </c>
      <c r="M232" s="9" t="s">
        <v>109</v>
      </c>
      <c r="N232" s="34">
        <f>HLOOKUP(VLOOKUP(J232,BCConc!$B:$D,3,0),$D$1:$G$259,ROW(B232),0)</f>
        <v>39.96</v>
      </c>
      <c r="O232" s="34"/>
      <c r="P232" s="34"/>
      <c r="Q232" s="34">
        <v>200</v>
      </c>
      <c r="R232" s="58">
        <f t="shared" si="32"/>
        <v>33.333333333333336</v>
      </c>
      <c r="S232" s="58">
        <f t="shared" si="33"/>
        <v>292</v>
      </c>
      <c r="T232" s="58" t="str">
        <f>VLOOKUP(J232,BCConc!$B:$E,4,0)</f>
        <v>IC/CY</v>
      </c>
      <c r="U232" s="58" t="str">
        <f t="shared" si="34"/>
        <v>NLA</v>
      </c>
      <c r="V232" s="58" t="str">
        <f>VLOOKUP(U232,BCConc!$L$1:$M$36,2,0)</f>
        <v>Pozo</v>
      </c>
    </row>
    <row r="233" spans="1:22" ht="15" customHeight="1">
      <c r="A233" s="29" t="s">
        <v>169</v>
      </c>
      <c r="B233" s="11" t="s">
        <v>108</v>
      </c>
      <c r="C233" s="11" t="str">
        <f>B233</f>
        <v>NRG-0027</v>
      </c>
      <c r="D233" s="8">
        <f>D234</f>
        <v>4.05</v>
      </c>
      <c r="E233" s="8">
        <f>E234</f>
        <v>10.96</v>
      </c>
      <c r="F233" s="11">
        <f t="shared" si="31"/>
        <v>15.010000000000002</v>
      </c>
      <c r="G233" s="11" t="str">
        <f>IFERROR(VLOOKUP(C:C,CtrlPozo!$B:$O,10,0),"")</f>
        <v/>
      </c>
      <c r="H233" s="9" t="s">
        <v>93</v>
      </c>
      <c r="I233" s="9">
        <f>VLOOKUP(H:H,LP!$A:$C,3,0)</f>
        <v>6.94</v>
      </c>
      <c r="J233" s="12" t="s">
        <v>19</v>
      </c>
      <c r="K233" s="10" t="s">
        <v>90</v>
      </c>
      <c r="L233" s="10" t="str">
        <f t="shared" si="37"/>
        <v>8M</v>
      </c>
      <c r="M233" s="9" t="s">
        <v>109</v>
      </c>
      <c r="N233" s="34">
        <f>HLOOKUP(VLOOKUP(J233,BCConc!$B:$D,3,0),$D$1:$G$259,ROW(B233),0)</f>
        <v>10.96</v>
      </c>
      <c r="O233" s="34"/>
      <c r="P233" s="34"/>
      <c r="Q233" s="34">
        <v>200</v>
      </c>
      <c r="R233" s="58">
        <f t="shared" si="32"/>
        <v>25</v>
      </c>
      <c r="S233" s="58">
        <f t="shared" si="33"/>
        <v>173.5</v>
      </c>
      <c r="T233" s="58" t="str">
        <f>VLOOKUP(J233,BCConc!$B:$E,4,0)</f>
        <v>CY</v>
      </c>
      <c r="U233" s="58" t="str">
        <f t="shared" si="34"/>
        <v>NRG</v>
      </c>
      <c r="V233" s="58" t="str">
        <f>VLOOKUP(U233,BCConc!$L$1:$M$36,2,0)</f>
        <v>Pozo</v>
      </c>
    </row>
    <row r="234" spans="1:22" ht="15" customHeight="1">
      <c r="A234" s="29" t="s">
        <v>169</v>
      </c>
      <c r="B234" s="34" t="s">
        <v>586</v>
      </c>
      <c r="C234" s="11" t="str">
        <f>B234</f>
        <v>RG.a-35</v>
      </c>
      <c r="D234" s="8">
        <f>+VLOOKUP(C:C,CtrlPozo!$B:$O,13,0)</f>
        <v>4.05</v>
      </c>
      <c r="E234" s="8">
        <f>+VLOOKUP(C:C,CtrlPozo!$B:$O,12,0)</f>
        <v>10.96</v>
      </c>
      <c r="F234" s="11">
        <f t="shared" si="31"/>
        <v>15.010000000000002</v>
      </c>
      <c r="G234" s="11">
        <f>IFERROR(VLOOKUP(C:C,CtrlPozo!$B:$O,10,0),"")</f>
        <v>125</v>
      </c>
      <c r="H234" s="9" t="s">
        <v>92</v>
      </c>
      <c r="I234" s="9">
        <f>VLOOKUP(H:H,LP!$A:$C,3,0)</f>
        <v>8.76</v>
      </c>
      <c r="J234" s="10" t="s">
        <v>156</v>
      </c>
      <c r="K234" s="10" t="s">
        <v>90</v>
      </c>
      <c r="L234" s="10" t="str">
        <f t="shared" si="37"/>
        <v>8M</v>
      </c>
      <c r="M234" s="9" t="s">
        <v>109</v>
      </c>
      <c r="N234" s="34">
        <f>HLOOKUP(VLOOKUP(J234,BCConc!$B:$D,3,0),$D$1:$G$259,ROW(B234),0)</f>
        <v>10.96</v>
      </c>
      <c r="O234" s="34"/>
      <c r="P234" s="34"/>
      <c r="Q234" s="34">
        <v>200</v>
      </c>
      <c r="R234" s="58">
        <f t="shared" si="32"/>
        <v>25</v>
      </c>
      <c r="S234" s="58">
        <f t="shared" si="33"/>
        <v>219</v>
      </c>
      <c r="T234" s="58" t="str">
        <f>VLOOKUP(J234,BCConc!$B:$E,4,0)</f>
        <v>IC/CY</v>
      </c>
      <c r="U234" s="58" t="str">
        <f t="shared" si="34"/>
        <v>RG.</v>
      </c>
      <c r="V234" s="58" t="str">
        <f>VLOOKUP(U234,BCConc!$L$1:$M$36,2,0)</f>
        <v>Pozo</v>
      </c>
    </row>
    <row r="235" spans="1:22" ht="15" customHeight="1">
      <c r="A235" s="16" t="s">
        <v>165</v>
      </c>
      <c r="B235" s="11" t="s">
        <v>476</v>
      </c>
      <c r="C235" s="8" t="str">
        <f>B235</f>
        <v>NMDM-0028</v>
      </c>
      <c r="D235" s="8">
        <f>+VLOOKUP(C:C,CtrlPozo!$B:$O,13,0)</f>
        <v>2.86</v>
      </c>
      <c r="E235" s="8">
        <f>+VLOOKUP(C:C,CtrlPozo!$B:$O,12,0)</f>
        <v>191.09</v>
      </c>
      <c r="F235" s="11">
        <f t="shared" si="31"/>
        <v>193.95000000000002</v>
      </c>
      <c r="G235" s="11">
        <f>IFERROR(VLOOKUP(C:C,CtrlPozo!$B:$O,10,0),"")</f>
        <v>2000</v>
      </c>
      <c r="H235" s="9" t="s">
        <v>92</v>
      </c>
      <c r="I235" s="9">
        <f>VLOOKUP(H:H,LP!$A:$C,3,0)</f>
        <v>8.76</v>
      </c>
      <c r="J235" s="10" t="s">
        <v>156</v>
      </c>
      <c r="K235" s="10" t="s">
        <v>90</v>
      </c>
      <c r="L235" s="10" t="str">
        <f t="shared" si="37"/>
        <v>3M</v>
      </c>
      <c r="M235" s="9" t="s">
        <v>109</v>
      </c>
      <c r="N235" s="34">
        <f>HLOOKUP(VLOOKUP(J235,BCConc!$B:$D,3,0),$D$1:$G$259,ROW(B235),0)</f>
        <v>191.09</v>
      </c>
      <c r="O235" s="34"/>
      <c r="P235" s="34"/>
      <c r="Q235" s="34">
        <v>200</v>
      </c>
      <c r="R235" s="58">
        <f t="shared" si="32"/>
        <v>66.666666666666671</v>
      </c>
      <c r="S235" s="58">
        <f t="shared" si="33"/>
        <v>584</v>
      </c>
      <c r="T235" s="58" t="str">
        <f>VLOOKUP(J235,BCConc!$B:$E,4,0)</f>
        <v>IC/CY</v>
      </c>
      <c r="U235" s="58" t="str">
        <f t="shared" si="34"/>
        <v>NMD</v>
      </c>
      <c r="V235" s="58" t="str">
        <f>VLOOKUP(U235,BCConc!$L$1:$M$36,2,0)</f>
        <v>Pozo</v>
      </c>
    </row>
    <row r="236" spans="1:22" ht="15" customHeight="1">
      <c r="A236" s="16" t="s">
        <v>165</v>
      </c>
      <c r="B236" s="11" t="s">
        <v>493</v>
      </c>
      <c r="C236" s="8" t="str">
        <f t="shared" ref="C236:C243" si="38">B236</f>
        <v>NMDM-0039</v>
      </c>
      <c r="D236" s="8">
        <f>+VLOOKUP(C:C,CtrlPozo!$B:$O,13,0)</f>
        <v>2.2400000000000002</v>
      </c>
      <c r="E236" s="8">
        <f>+VLOOKUP(C:C,CtrlPozo!$B:$O,12,0)</f>
        <v>42.75</v>
      </c>
      <c r="F236" s="11">
        <f t="shared" si="31"/>
        <v>44.99</v>
      </c>
      <c r="G236" s="11">
        <f>IFERROR(VLOOKUP(C:C,CtrlPozo!$B:$O,10,0),"")</f>
        <v>6700</v>
      </c>
      <c r="H236" s="9" t="s">
        <v>92</v>
      </c>
      <c r="I236" s="9">
        <f>VLOOKUP(H:H,LP!$A:$C,3,0)</f>
        <v>8.76</v>
      </c>
      <c r="J236" s="10" t="s">
        <v>156</v>
      </c>
      <c r="K236" s="10" t="s">
        <v>90</v>
      </c>
      <c r="L236" s="10" t="str">
        <f t="shared" si="37"/>
        <v>6M</v>
      </c>
      <c r="M236" s="9" t="s">
        <v>109</v>
      </c>
      <c r="N236" s="34">
        <f>HLOOKUP(VLOOKUP(J236,BCConc!$B:$D,3,0),$D$1:$G$259,ROW(B236),0)</f>
        <v>42.75</v>
      </c>
      <c r="O236" s="34"/>
      <c r="P236" s="34"/>
      <c r="Q236" s="34">
        <v>200</v>
      </c>
      <c r="R236" s="58">
        <f t="shared" si="32"/>
        <v>33.333333333333336</v>
      </c>
      <c r="S236" s="58">
        <f t="shared" si="33"/>
        <v>292</v>
      </c>
      <c r="T236" s="58" t="str">
        <f>VLOOKUP(J236,BCConc!$B:$E,4,0)</f>
        <v>IC/CY</v>
      </c>
      <c r="U236" s="58" t="str">
        <f t="shared" si="34"/>
        <v>NMD</v>
      </c>
      <c r="V236" s="58" t="str">
        <f>VLOOKUP(U236,BCConc!$L$1:$M$36,2,0)</f>
        <v>Pozo</v>
      </c>
    </row>
    <row r="237" spans="1:22" ht="15" customHeight="1">
      <c r="A237" s="16" t="s">
        <v>165</v>
      </c>
      <c r="B237" s="1" t="s">
        <v>95</v>
      </c>
      <c r="C237" s="8" t="str">
        <f t="shared" si="38"/>
        <v>NMDM-56</v>
      </c>
      <c r="D237" s="8">
        <f>+VLOOKUP(C:C,CtrlPozo!$B:$O,13,0)</f>
        <v>1.1599999999999999</v>
      </c>
      <c r="E237" s="8">
        <f>+VLOOKUP(C:C,CtrlPozo!$B:$O,12,0)</f>
        <v>56.84</v>
      </c>
      <c r="F237" s="11">
        <f t="shared" si="31"/>
        <v>58</v>
      </c>
      <c r="G237" s="11">
        <f>IFERROR(VLOOKUP(C:C,CtrlPozo!$B:$O,10,0),"")</f>
        <v>2700</v>
      </c>
      <c r="H237" s="9" t="s">
        <v>91</v>
      </c>
      <c r="I237" s="9">
        <f>VLOOKUP(H:H,LP!$A:$C,3,0)</f>
        <v>10.58</v>
      </c>
      <c r="J237" s="12" t="s">
        <v>12</v>
      </c>
      <c r="K237" s="10" t="s">
        <v>90</v>
      </c>
      <c r="L237" s="10" t="str">
        <f t="shared" si="37"/>
        <v>4M</v>
      </c>
      <c r="M237" s="9" t="s">
        <v>109</v>
      </c>
      <c r="N237" s="34">
        <f>HLOOKUP(VLOOKUP(J237,BCConc!$B:$D,3,0),$D$1:$G$259,ROW(B237),0)</f>
        <v>56.84</v>
      </c>
      <c r="O237" s="34"/>
      <c r="P237" s="34"/>
      <c r="Q237" s="34">
        <v>200</v>
      </c>
      <c r="R237" s="58">
        <f t="shared" si="32"/>
        <v>50</v>
      </c>
      <c r="S237" s="58">
        <f t="shared" si="33"/>
        <v>529</v>
      </c>
      <c r="T237" s="58" t="str">
        <f>VLOOKUP(J237,BCConc!$B:$E,4,0)</f>
        <v>IC</v>
      </c>
      <c r="U237" s="58" t="str">
        <f t="shared" si="34"/>
        <v>NMD</v>
      </c>
      <c r="V237" s="58" t="str">
        <f>VLOOKUP(U237,BCConc!$L$1:$M$36,2,0)</f>
        <v>Pozo</v>
      </c>
    </row>
    <row r="238" spans="1:22" ht="15" customHeight="1">
      <c r="A238" s="16" t="s">
        <v>165</v>
      </c>
      <c r="B238" s="11" t="s">
        <v>594</v>
      </c>
      <c r="C238" s="8" t="str">
        <f t="shared" si="38"/>
        <v>NMDM-0058</v>
      </c>
      <c r="D238" s="8">
        <f>+VLOOKUP(C:C,CtrlPozo!$B:$O,13,0)</f>
        <v>3.19</v>
      </c>
      <c r="E238" s="8">
        <f>+VLOOKUP(C:C,CtrlPozo!$B:$O,12,0)</f>
        <v>46.54</v>
      </c>
      <c r="F238" s="11">
        <f t="shared" si="31"/>
        <v>49.73</v>
      </c>
      <c r="G238" s="11">
        <f>IFERROR(VLOOKUP(C:C,CtrlPozo!$B:$O,10,0),"")</f>
        <v>6885</v>
      </c>
      <c r="H238" s="9" t="s">
        <v>91</v>
      </c>
      <c r="I238" s="9">
        <f>VLOOKUP(H:H,LP!$A:$C,3,0)</f>
        <v>10.58</v>
      </c>
      <c r="J238" s="12" t="s">
        <v>12</v>
      </c>
      <c r="K238" s="10" t="s">
        <v>90</v>
      </c>
      <c r="L238" s="10" t="str">
        <f t="shared" si="37"/>
        <v>6M</v>
      </c>
      <c r="M238" s="9" t="s">
        <v>109</v>
      </c>
      <c r="N238" s="34">
        <f>HLOOKUP(VLOOKUP(J238,BCConc!$B:$D,3,0),$D$1:$G$259,ROW(B238),0)</f>
        <v>46.54</v>
      </c>
      <c r="O238" s="34"/>
      <c r="P238" s="34"/>
      <c r="Q238" s="34">
        <v>200</v>
      </c>
      <c r="R238" s="58">
        <f t="shared" si="32"/>
        <v>33.333333333333336</v>
      </c>
      <c r="S238" s="58">
        <f t="shared" si="33"/>
        <v>352.66666666666669</v>
      </c>
      <c r="T238" s="58" t="str">
        <f>VLOOKUP(J238,BCConc!$B:$E,4,0)</f>
        <v>IC</v>
      </c>
      <c r="U238" s="58" t="str">
        <f t="shared" si="34"/>
        <v>NMD</v>
      </c>
      <c r="V238" s="58" t="str">
        <f>VLOOKUP(U238,BCConc!$L$1:$M$36,2,0)</f>
        <v>Pozo</v>
      </c>
    </row>
    <row r="239" spans="1:22" ht="15" customHeight="1">
      <c r="A239" s="16" t="s">
        <v>165</v>
      </c>
      <c r="B239" s="11" t="s">
        <v>138</v>
      </c>
      <c r="C239" s="8" t="str">
        <f t="shared" si="38"/>
        <v>NMDM-59</v>
      </c>
      <c r="D239" s="8">
        <f>D238</f>
        <v>3.19</v>
      </c>
      <c r="E239" s="8">
        <f>E238</f>
        <v>46.54</v>
      </c>
      <c r="F239" s="11">
        <f t="shared" si="31"/>
        <v>49.73</v>
      </c>
      <c r="G239" s="11" t="str">
        <f>IFERROR(VLOOKUP(C:C,CtrlPozo!$B:$O,10,0),"")</f>
        <v/>
      </c>
      <c r="H239" s="9" t="s">
        <v>92</v>
      </c>
      <c r="I239" s="9">
        <f>VLOOKUP(H:H,LP!$A:$C,3,0)</f>
        <v>8.76</v>
      </c>
      <c r="J239" s="10" t="s">
        <v>156</v>
      </c>
      <c r="K239" s="10" t="s">
        <v>90</v>
      </c>
      <c r="L239" s="10" t="str">
        <f t="shared" si="37"/>
        <v>6M</v>
      </c>
      <c r="M239" s="9" t="s">
        <v>109</v>
      </c>
      <c r="N239" s="34">
        <f>HLOOKUP(VLOOKUP(J239,BCConc!$B:$D,3,0),$D$1:$G$259,ROW(B239),0)</f>
        <v>46.54</v>
      </c>
      <c r="O239" s="34"/>
      <c r="P239" s="34"/>
      <c r="Q239" s="34">
        <v>200</v>
      </c>
      <c r="R239" s="58">
        <f t="shared" si="32"/>
        <v>33.333333333333336</v>
      </c>
      <c r="S239" s="58">
        <f t="shared" si="33"/>
        <v>292</v>
      </c>
      <c r="T239" s="58" t="str">
        <f>VLOOKUP(J239,BCConc!$B:$E,4,0)</f>
        <v>IC/CY</v>
      </c>
      <c r="U239" s="58" t="str">
        <f t="shared" si="34"/>
        <v>NMD</v>
      </c>
      <c r="V239" s="58" t="str">
        <f>VLOOKUP(U239,BCConc!$L$1:$M$36,2,0)</f>
        <v>Pozo</v>
      </c>
    </row>
    <row r="240" spans="1:22" ht="15" customHeight="1">
      <c r="A240" s="16" t="s">
        <v>165</v>
      </c>
      <c r="B240" s="11" t="s">
        <v>596</v>
      </c>
      <c r="C240" s="8" t="str">
        <f t="shared" si="38"/>
        <v>NMDM-0062</v>
      </c>
      <c r="D240" s="8">
        <f>+VLOOKUP(C:C,CtrlPozo!$B:$O,13,0)</f>
        <v>1.69</v>
      </c>
      <c r="E240" s="8">
        <f>+VLOOKUP(C:C,CtrlPozo!$B:$O,12,0)</f>
        <v>18.91</v>
      </c>
      <c r="F240" s="11">
        <f t="shared" si="31"/>
        <v>20.6</v>
      </c>
      <c r="G240" s="11">
        <f>IFERROR(VLOOKUP(C:C,CtrlPozo!$B:$O,10,0),"")</f>
        <v>18</v>
      </c>
      <c r="H240" s="9" t="s">
        <v>92</v>
      </c>
      <c r="I240" s="9">
        <f>VLOOKUP(H:H,LP!$A:$C,3,0)</f>
        <v>8.76</v>
      </c>
      <c r="J240" s="10" t="s">
        <v>156</v>
      </c>
      <c r="K240" s="10" t="s">
        <v>90</v>
      </c>
      <c r="L240" s="10" t="str">
        <f t="shared" si="37"/>
        <v>8M</v>
      </c>
      <c r="M240" s="9" t="s">
        <v>109</v>
      </c>
      <c r="N240" s="34">
        <f>HLOOKUP(VLOOKUP(J240,BCConc!$B:$D,3,0),$D$1:$G$259,ROW(B240),0)</f>
        <v>18.91</v>
      </c>
      <c r="O240" s="34"/>
      <c r="P240" s="34"/>
      <c r="Q240" s="34">
        <v>200</v>
      </c>
      <c r="R240" s="58">
        <f t="shared" si="32"/>
        <v>25</v>
      </c>
      <c r="S240" s="58">
        <f t="shared" si="33"/>
        <v>219</v>
      </c>
      <c r="T240" s="58" t="str">
        <f>VLOOKUP(J240,BCConc!$B:$E,4,0)</f>
        <v>IC/CY</v>
      </c>
      <c r="U240" s="58" t="str">
        <f t="shared" si="34"/>
        <v>NMD</v>
      </c>
      <c r="V240" s="58" t="str">
        <f>VLOOKUP(U240,BCConc!$L$1:$M$36,2,0)</f>
        <v>Pozo</v>
      </c>
    </row>
    <row r="241" spans="1:22" ht="15" customHeight="1">
      <c r="A241" s="16" t="s">
        <v>165</v>
      </c>
      <c r="B241" s="11" t="s">
        <v>600</v>
      </c>
      <c r="C241" s="8" t="str">
        <f t="shared" si="38"/>
        <v>NMDM-0069</v>
      </c>
      <c r="D241" s="8">
        <f>+VLOOKUP(C:C,CtrlPozo!$B:$O,13,0)</f>
        <v>1.99</v>
      </c>
      <c r="E241" s="8">
        <f>+VLOOKUP(C:C,CtrlPozo!$B:$O,12,0)</f>
        <v>11.5</v>
      </c>
      <c r="F241" s="11">
        <f t="shared" si="31"/>
        <v>13.49</v>
      </c>
      <c r="G241" s="11">
        <f>IFERROR(VLOOKUP(C:C,CtrlPozo!$B:$O,10,0),"")</f>
        <v>1051</v>
      </c>
      <c r="H241" s="12" t="s">
        <v>93</v>
      </c>
      <c r="I241" s="9">
        <f>VLOOKUP(H:H,LP!$A:$C,3,0)</f>
        <v>6.94</v>
      </c>
      <c r="J241" s="12" t="s">
        <v>19</v>
      </c>
      <c r="K241" s="10" t="s">
        <v>90</v>
      </c>
      <c r="L241" s="10" t="str">
        <f t="shared" si="37"/>
        <v>8M</v>
      </c>
      <c r="M241" s="9" t="s">
        <v>109</v>
      </c>
      <c r="N241" s="34">
        <f>HLOOKUP(VLOOKUP(J241,BCConc!$B:$D,3,0),$D$1:$G$259,ROW(B241),0)</f>
        <v>11.5</v>
      </c>
      <c r="O241" s="34"/>
      <c r="P241" s="34"/>
      <c r="Q241" s="34">
        <v>200</v>
      </c>
      <c r="R241" s="58">
        <f t="shared" si="32"/>
        <v>25</v>
      </c>
      <c r="S241" s="58">
        <f t="shared" si="33"/>
        <v>173.5</v>
      </c>
      <c r="T241" s="58" t="str">
        <f>VLOOKUP(J241,BCConc!$B:$E,4,0)</f>
        <v>CY</v>
      </c>
      <c r="U241" s="58" t="str">
        <f t="shared" si="34"/>
        <v>NMD</v>
      </c>
      <c r="V241" s="58" t="str">
        <f>VLOOKUP(U241,BCConc!$L$1:$M$36,2,0)</f>
        <v>Pozo</v>
      </c>
    </row>
    <row r="242" spans="1:22" ht="15" customHeight="1">
      <c r="A242" s="16" t="s">
        <v>165</v>
      </c>
      <c r="B242" s="11" t="s">
        <v>48</v>
      </c>
      <c r="C242" s="8" t="str">
        <f t="shared" si="38"/>
        <v>NMDM-0072</v>
      </c>
      <c r="D242" s="8">
        <f>+VLOOKUP(C:C,CtrlPozo!$B:$O,13,0)</f>
        <v>8.61</v>
      </c>
      <c r="E242" s="8">
        <f>+VLOOKUP(C:C,CtrlPozo!$B:$O,12,0)</f>
        <v>39.36</v>
      </c>
      <c r="F242" s="11">
        <f t="shared" si="31"/>
        <v>47.97</v>
      </c>
      <c r="G242" s="11">
        <f>IFERROR(VLOOKUP(C:C,CtrlPozo!$B:$O,10,0),"")</f>
        <v>4010</v>
      </c>
      <c r="H242" s="9" t="s">
        <v>92</v>
      </c>
      <c r="I242" s="9">
        <f>VLOOKUP(H:H,LP!$A:$C,3,0)</f>
        <v>8.76</v>
      </c>
      <c r="J242" s="10" t="s">
        <v>156</v>
      </c>
      <c r="K242" s="10" t="s">
        <v>90</v>
      </c>
      <c r="L242" s="10" t="str">
        <f t="shared" si="37"/>
        <v>6M</v>
      </c>
      <c r="M242" s="9" t="s">
        <v>109</v>
      </c>
      <c r="N242" s="34">
        <f>HLOOKUP(VLOOKUP(J242,BCConc!$B:$D,3,0),$D$1:$G$259,ROW(B242),0)</f>
        <v>39.36</v>
      </c>
      <c r="O242" s="34"/>
      <c r="P242" s="34"/>
      <c r="Q242" s="34">
        <v>200</v>
      </c>
      <c r="R242" s="58">
        <f t="shared" si="32"/>
        <v>33.333333333333336</v>
      </c>
      <c r="S242" s="58">
        <f t="shared" si="33"/>
        <v>292</v>
      </c>
      <c r="T242" s="58" t="str">
        <f>VLOOKUP(J242,BCConc!$B:$E,4,0)</f>
        <v>IC/CY</v>
      </c>
      <c r="U242" s="58" t="str">
        <f t="shared" si="34"/>
        <v>NMD</v>
      </c>
      <c r="V242" s="58" t="str">
        <f>VLOOKUP(U242,BCConc!$L$1:$M$36,2,0)</f>
        <v>Pozo</v>
      </c>
    </row>
    <row r="243" spans="1:22" ht="15" customHeight="1">
      <c r="A243" s="30" t="s">
        <v>168</v>
      </c>
      <c r="B243" s="34" t="s">
        <v>66</v>
      </c>
      <c r="C243" s="8" t="str">
        <f t="shared" si="38"/>
        <v>NPP-0006</v>
      </c>
      <c r="D243" s="8">
        <f>+VLOOKUP(C:C,CtrlPozo!$B:$O,13,0)</f>
        <v>6.9</v>
      </c>
      <c r="E243" s="8">
        <f>+VLOOKUP(C:C,CtrlPozo!$B:$O,12,0)</f>
        <v>0.11</v>
      </c>
      <c r="F243" s="11">
        <f t="shared" si="31"/>
        <v>7.0100000000000007</v>
      </c>
      <c r="G243" s="11">
        <f>IFERROR(VLOOKUP(C:C,CtrlPozo!$B:$O,10,0),"")</f>
        <v>7</v>
      </c>
      <c r="H243" s="9" t="s">
        <v>93</v>
      </c>
      <c r="I243" s="9">
        <f>VLOOKUP(H:H,LP!$A:$C,3,0)</f>
        <v>6.94</v>
      </c>
      <c r="J243" s="12" t="s">
        <v>19</v>
      </c>
      <c r="K243" s="10" t="s">
        <v>90</v>
      </c>
      <c r="L243" s="10" t="str">
        <f t="shared" si="37"/>
        <v>8M</v>
      </c>
      <c r="M243" s="9" t="s">
        <v>109</v>
      </c>
      <c r="N243" s="34">
        <f>HLOOKUP(VLOOKUP(J243,BCConc!$B:$D,3,0),$D$1:$G$259,ROW(B243),0)</f>
        <v>0.11</v>
      </c>
      <c r="O243" s="34"/>
      <c r="P243" s="34"/>
      <c r="Q243" s="34">
        <v>200</v>
      </c>
      <c r="R243" s="58">
        <f t="shared" si="32"/>
        <v>25</v>
      </c>
      <c r="S243" s="58">
        <f t="shared" si="33"/>
        <v>173.5</v>
      </c>
      <c r="T243" s="58" t="str">
        <f>VLOOKUP(J243,BCConc!$B:$E,4,0)</f>
        <v>CY</v>
      </c>
      <c r="U243" s="58" t="str">
        <f t="shared" si="34"/>
        <v>NPP</v>
      </c>
      <c r="V243" s="58" t="str">
        <f>VLOOKUP(U243,BCConc!$L$1:$M$36,2,0)</f>
        <v>Pozo</v>
      </c>
    </row>
    <row r="244" spans="1:22" ht="15" customHeight="1">
      <c r="A244" s="17" t="s">
        <v>161</v>
      </c>
      <c r="B244" s="11" t="s">
        <v>371</v>
      </c>
      <c r="C244" s="18" t="str">
        <f t="shared" ref="C244:C253" si="39">B244</f>
        <v>NLCa-5</v>
      </c>
      <c r="D244" s="8">
        <f>+VLOOKUP(C:C,CtrlPozo!$B:$O,13,0)</f>
        <v>0.94</v>
      </c>
      <c r="E244" s="8">
        <f>+VLOOKUP(C:C,CtrlPozo!$B:$O,12,0)</f>
        <v>12.67</v>
      </c>
      <c r="F244" s="11">
        <f t="shared" si="31"/>
        <v>13.61</v>
      </c>
      <c r="G244" s="11">
        <f>IFERROR(VLOOKUP(C:C,CtrlPozo!$B:$O,10,0),"")</f>
        <v>2192</v>
      </c>
      <c r="H244" s="9" t="s">
        <v>91</v>
      </c>
      <c r="I244" s="9">
        <f>VLOOKUP(H:H,LP!$A:$C,3,0)</f>
        <v>10.58</v>
      </c>
      <c r="J244" s="12" t="s">
        <v>12</v>
      </c>
      <c r="K244" s="10" t="s">
        <v>90</v>
      </c>
      <c r="L244" s="10" t="str">
        <f t="shared" si="37"/>
        <v>8M</v>
      </c>
      <c r="M244" s="9" t="s">
        <v>109</v>
      </c>
      <c r="N244" s="34">
        <f>HLOOKUP(VLOOKUP(J244,BCConc!$B:$D,3,0),$D$1:$G$259,ROW(B244),0)</f>
        <v>12.67</v>
      </c>
      <c r="O244" s="34"/>
      <c r="P244" s="34"/>
      <c r="Q244" s="34">
        <v>200</v>
      </c>
      <c r="R244" s="58">
        <f t="shared" si="32"/>
        <v>25</v>
      </c>
      <c r="S244" s="58">
        <f t="shared" si="33"/>
        <v>264.5</v>
      </c>
      <c r="T244" s="58" t="str">
        <f>VLOOKUP(J244,BCConc!$B:$E,4,0)</f>
        <v>IC</v>
      </c>
      <c r="U244" s="58" t="str">
        <f t="shared" si="34"/>
        <v>NLC</v>
      </c>
      <c r="V244" s="58" t="str">
        <f>VLOOKUP(U244,BCConc!$L$1:$M$36,2,0)</f>
        <v>Pozo</v>
      </c>
    </row>
    <row r="245" spans="1:22" ht="15" customHeight="1">
      <c r="A245" s="17" t="s">
        <v>161</v>
      </c>
      <c r="B245" s="11" t="s">
        <v>486</v>
      </c>
      <c r="C245" s="18" t="str">
        <f t="shared" si="39"/>
        <v>NLCa-26</v>
      </c>
      <c r="D245" s="8">
        <f>+VLOOKUP(C:C,CtrlPozo!$B:$O,13,0)</f>
        <v>1.8</v>
      </c>
      <c r="E245" s="8">
        <f>+VLOOKUP(C:C,CtrlPozo!$B:$O,12,0)</f>
        <v>18.79</v>
      </c>
      <c r="F245" s="11">
        <f t="shared" si="31"/>
        <v>20.59</v>
      </c>
      <c r="G245" s="11">
        <f>IFERROR(VLOOKUP(C:C,CtrlPozo!$B:$O,10,0),"")</f>
        <v>2055</v>
      </c>
      <c r="H245" s="9" t="s">
        <v>91</v>
      </c>
      <c r="I245" s="9">
        <f>VLOOKUP(H:H,LP!$A:$C,3,0)</f>
        <v>10.58</v>
      </c>
      <c r="J245" s="12" t="s">
        <v>12</v>
      </c>
      <c r="K245" s="10" t="s">
        <v>90</v>
      </c>
      <c r="L245" s="10" t="str">
        <f t="shared" si="37"/>
        <v>8M</v>
      </c>
      <c r="M245" s="9" t="s">
        <v>109</v>
      </c>
      <c r="N245" s="34">
        <f>HLOOKUP(VLOOKUP(J245,BCConc!$B:$D,3,0),$D$1:$G$259,ROW(B245),0)</f>
        <v>18.79</v>
      </c>
      <c r="O245" s="34"/>
      <c r="P245" s="34"/>
      <c r="Q245" s="34">
        <v>200</v>
      </c>
      <c r="R245" s="58">
        <f t="shared" si="32"/>
        <v>25</v>
      </c>
      <c r="S245" s="58">
        <f t="shared" si="33"/>
        <v>264.5</v>
      </c>
      <c r="T245" s="58" t="str">
        <f>VLOOKUP(J245,BCConc!$B:$E,4,0)</f>
        <v>IC</v>
      </c>
      <c r="U245" s="58" t="str">
        <f t="shared" si="34"/>
        <v>NLC</v>
      </c>
      <c r="V245" s="58" t="str">
        <f>VLOOKUP(U245,BCConc!$L$1:$M$36,2,0)</f>
        <v>Pozo</v>
      </c>
    </row>
    <row r="246" spans="1:22" ht="15" customHeight="1">
      <c r="A246" s="17" t="s">
        <v>161</v>
      </c>
      <c r="B246" s="11" t="s">
        <v>126</v>
      </c>
      <c r="C246" s="18" t="str">
        <f t="shared" si="39"/>
        <v>NLCA-0047</v>
      </c>
      <c r="D246" s="8">
        <f>+VLOOKUP(C:C,CtrlPozo!$B:$O,13,0)</f>
        <v>2.08</v>
      </c>
      <c r="E246" s="8">
        <f>+VLOOKUP(C:C,CtrlPozo!$B:$O,12,0)</f>
        <v>2.1</v>
      </c>
      <c r="F246" s="11">
        <f t="shared" si="31"/>
        <v>4.18</v>
      </c>
      <c r="G246" s="11">
        <f>IFERROR(VLOOKUP(C:C,CtrlPozo!$B:$O,10,0),"")</f>
        <v>2000</v>
      </c>
      <c r="H246" s="12" t="s">
        <v>93</v>
      </c>
      <c r="I246" s="9">
        <f>VLOOKUP(H:H,LP!$A:$C,3,0)</f>
        <v>6.94</v>
      </c>
      <c r="J246" s="12" t="s">
        <v>19</v>
      </c>
      <c r="K246" s="10" t="s">
        <v>90</v>
      </c>
      <c r="L246" s="10" t="str">
        <f t="shared" si="37"/>
        <v>8M</v>
      </c>
      <c r="M246" s="9" t="s">
        <v>109</v>
      </c>
      <c r="N246" s="34">
        <f>HLOOKUP(VLOOKUP(J246,BCConc!$B:$D,3,0),$D$1:$G$259,ROW(B246),0)</f>
        <v>2.1</v>
      </c>
      <c r="O246" s="34"/>
      <c r="P246" s="34"/>
      <c r="Q246" s="34">
        <v>200</v>
      </c>
      <c r="R246" s="58">
        <f t="shared" si="32"/>
        <v>25</v>
      </c>
      <c r="S246" s="58">
        <f t="shared" si="33"/>
        <v>173.5</v>
      </c>
      <c r="T246" s="58" t="str">
        <f>VLOOKUP(J246,BCConc!$B:$E,4,0)</f>
        <v>CY</v>
      </c>
      <c r="U246" s="58" t="str">
        <f t="shared" si="34"/>
        <v>NLC</v>
      </c>
      <c r="V246" s="58" t="str">
        <f>VLOOKUP(U246,BCConc!$L$1:$M$36,2,0)</f>
        <v>Pozo</v>
      </c>
    </row>
    <row r="247" spans="1:22" ht="15" customHeight="1">
      <c r="A247" s="17" t="s">
        <v>161</v>
      </c>
      <c r="B247" s="11" t="s">
        <v>153</v>
      </c>
      <c r="C247" s="18" t="str">
        <f t="shared" si="39"/>
        <v>NLCA-0056</v>
      </c>
      <c r="D247" s="8">
        <f>+VLOOKUP(C:C,CtrlPozo!$B:$O,13,0)</f>
        <v>0.81</v>
      </c>
      <c r="E247" s="8">
        <f>+VLOOKUP(C:C,CtrlPozo!$B:$O,12,0)</f>
        <v>10.23</v>
      </c>
      <c r="F247" s="11">
        <f t="shared" si="31"/>
        <v>11.040000000000001</v>
      </c>
      <c r="G247" s="11">
        <f>IFERROR(VLOOKUP(C:C,CtrlPozo!$B:$O,10,0),"")</f>
        <v>515</v>
      </c>
      <c r="H247" s="9" t="s">
        <v>92</v>
      </c>
      <c r="I247" s="9">
        <f>VLOOKUP(H:H,LP!$A:$C,3,0)</f>
        <v>8.76</v>
      </c>
      <c r="J247" s="10" t="s">
        <v>156</v>
      </c>
      <c r="K247" s="10" t="s">
        <v>90</v>
      </c>
      <c r="L247" s="10" t="str">
        <f t="shared" si="37"/>
        <v>8M</v>
      </c>
      <c r="M247" s="9" t="s">
        <v>109</v>
      </c>
      <c r="N247" s="34">
        <f>HLOOKUP(VLOOKUP(J247,BCConc!$B:$D,3,0),$D$1:$G$259,ROW(B247),0)</f>
        <v>10.23</v>
      </c>
      <c r="O247" s="34"/>
      <c r="P247" s="34"/>
      <c r="Q247" s="34">
        <v>200</v>
      </c>
      <c r="R247" s="58">
        <f t="shared" si="32"/>
        <v>25</v>
      </c>
      <c r="S247" s="58">
        <f t="shared" si="33"/>
        <v>219</v>
      </c>
      <c r="T247" s="58" t="str">
        <f>VLOOKUP(J247,BCConc!$B:$E,4,0)</f>
        <v>IC/CY</v>
      </c>
      <c r="U247" s="58" t="str">
        <f t="shared" si="34"/>
        <v>NLC</v>
      </c>
      <c r="V247" s="58" t="str">
        <f>VLOOKUP(U247,BCConc!$L$1:$M$36,2,0)</f>
        <v>Pozo</v>
      </c>
    </row>
    <row r="248" spans="1:22" ht="15" customHeight="1">
      <c r="A248" s="17" t="s">
        <v>161</v>
      </c>
      <c r="B248" s="11" t="s">
        <v>148</v>
      </c>
      <c r="C248" s="18" t="str">
        <f t="shared" si="39"/>
        <v>NLCA-0075</v>
      </c>
      <c r="D248" s="8">
        <f>+VLOOKUP(C:C,CtrlPozo!$B:$O,13,0)</f>
        <v>0.86</v>
      </c>
      <c r="E248" s="8">
        <f>+VLOOKUP(C:C,CtrlPozo!$B:$O,12,0)</f>
        <v>3.5</v>
      </c>
      <c r="F248" s="11">
        <f t="shared" si="31"/>
        <v>4.3600000000000003</v>
      </c>
      <c r="G248" s="11">
        <f>IFERROR(VLOOKUP(C:C,CtrlPozo!$B:$O,10,0),"")</f>
        <v>3217</v>
      </c>
      <c r="H248" s="9" t="s">
        <v>92</v>
      </c>
      <c r="I248" s="9">
        <f>VLOOKUP(H:H,LP!$A:$C,3,0)</f>
        <v>8.76</v>
      </c>
      <c r="J248" s="10" t="s">
        <v>156</v>
      </c>
      <c r="K248" s="10" t="s">
        <v>90</v>
      </c>
      <c r="L248" s="10" t="str">
        <f t="shared" si="37"/>
        <v>8M</v>
      </c>
      <c r="M248" s="9" t="s">
        <v>109</v>
      </c>
      <c r="N248" s="34">
        <f>HLOOKUP(VLOOKUP(J248,BCConc!$B:$D,3,0),$D$1:$G$259,ROW(B248),0)</f>
        <v>3.5</v>
      </c>
      <c r="O248" s="34"/>
      <c r="P248" s="34"/>
      <c r="Q248" s="34">
        <v>200</v>
      </c>
      <c r="R248" s="58">
        <f t="shared" si="32"/>
        <v>25</v>
      </c>
      <c r="S248" s="58">
        <f t="shared" si="33"/>
        <v>219</v>
      </c>
      <c r="T248" s="58" t="str">
        <f>VLOOKUP(J248,BCConc!$B:$E,4,0)</f>
        <v>IC/CY</v>
      </c>
      <c r="U248" s="58" t="str">
        <f t="shared" si="34"/>
        <v>NLC</v>
      </c>
      <c r="V248" s="58" t="str">
        <f>VLOOKUP(U248,BCConc!$L$1:$M$36,2,0)</f>
        <v>Pozo</v>
      </c>
    </row>
    <row r="249" spans="1:22" ht="15" customHeight="1">
      <c r="A249" s="17" t="s">
        <v>161</v>
      </c>
      <c r="B249" s="11" t="s">
        <v>154</v>
      </c>
      <c r="C249" s="18" t="str">
        <f t="shared" si="39"/>
        <v>NLCA-0085</v>
      </c>
      <c r="D249" s="8">
        <f>+VLOOKUP(C:C,CtrlPozo!$B:$O,13,0)</f>
        <v>3.04</v>
      </c>
      <c r="E249" s="8">
        <f>+VLOOKUP(C:C,CtrlPozo!$B:$O,12,0)</f>
        <v>17.39</v>
      </c>
      <c r="F249" s="11">
        <f t="shared" si="31"/>
        <v>20.43</v>
      </c>
      <c r="G249" s="11">
        <f>IFERROR(VLOOKUP(C:C,CtrlPozo!$B:$O,10,0),"")</f>
        <v>2946</v>
      </c>
      <c r="H249" s="9" t="s">
        <v>92</v>
      </c>
      <c r="I249" s="9">
        <f>VLOOKUP(H:H,LP!$A:$C,3,0)</f>
        <v>8.76</v>
      </c>
      <c r="J249" s="10" t="s">
        <v>156</v>
      </c>
      <c r="K249" s="10" t="s">
        <v>90</v>
      </c>
      <c r="L249" s="10" t="str">
        <f t="shared" si="37"/>
        <v>8M</v>
      </c>
      <c r="M249" s="9" t="s">
        <v>109</v>
      </c>
      <c r="N249" s="34">
        <f>HLOOKUP(VLOOKUP(J249,BCConc!$B:$D,3,0),$D$1:$G$259,ROW(B249),0)</f>
        <v>17.39</v>
      </c>
      <c r="O249" s="34"/>
      <c r="P249" s="34"/>
      <c r="Q249" s="34">
        <v>200</v>
      </c>
      <c r="R249" s="58">
        <f t="shared" si="32"/>
        <v>25</v>
      </c>
      <c r="S249" s="58">
        <f t="shared" si="33"/>
        <v>219</v>
      </c>
      <c r="T249" s="58" t="str">
        <f>VLOOKUP(J249,BCConc!$B:$E,4,0)</f>
        <v>IC/CY</v>
      </c>
      <c r="U249" s="58" t="str">
        <f t="shared" si="34"/>
        <v>NLC</v>
      </c>
      <c r="V249" s="58" t="str">
        <f>VLOOKUP(U249,BCConc!$L$1:$M$36,2,0)</f>
        <v>Pozo</v>
      </c>
    </row>
    <row r="250" spans="1:22" ht="15" customHeight="1">
      <c r="A250" s="17" t="s">
        <v>161</v>
      </c>
      <c r="B250" s="11" t="s">
        <v>144</v>
      </c>
      <c r="C250" s="18" t="str">
        <f t="shared" si="39"/>
        <v>NLCA-0088</v>
      </c>
      <c r="D250" s="8">
        <f>+VLOOKUP(C:C,CtrlPozo!$B:$O,13,0)</f>
        <v>1.88</v>
      </c>
      <c r="E250" s="8">
        <f>+VLOOKUP(C:C,CtrlPozo!$B:$O,12,0)</f>
        <v>33</v>
      </c>
      <c r="F250" s="11">
        <f t="shared" si="31"/>
        <v>34.880000000000003</v>
      </c>
      <c r="G250" s="11">
        <f>IFERROR(VLOOKUP(C:C,CtrlPozo!$B:$O,10,0),"")</f>
        <v>2492</v>
      </c>
      <c r="H250" s="9" t="s">
        <v>93</v>
      </c>
      <c r="I250" s="9">
        <f>VLOOKUP(H:H,LP!$A:$C,3,0)</f>
        <v>6.94</v>
      </c>
      <c r="J250" s="12" t="s">
        <v>19</v>
      </c>
      <c r="K250" s="10" t="s">
        <v>90</v>
      </c>
      <c r="L250" s="10" t="str">
        <f t="shared" si="37"/>
        <v>6M</v>
      </c>
      <c r="M250" s="9" t="s">
        <v>109</v>
      </c>
      <c r="N250" s="34">
        <f>HLOOKUP(VLOOKUP(J250,BCConc!$B:$D,3,0),$D$1:$G$259,ROW(B250),0)</f>
        <v>33</v>
      </c>
      <c r="O250" s="34"/>
      <c r="P250" s="34"/>
      <c r="Q250" s="34">
        <v>200</v>
      </c>
      <c r="R250" s="58">
        <f t="shared" si="32"/>
        <v>33.333333333333336</v>
      </c>
      <c r="S250" s="58">
        <f t="shared" si="33"/>
        <v>231.33333333333337</v>
      </c>
      <c r="T250" s="58" t="str">
        <f>VLOOKUP(J250,BCConc!$B:$E,4,0)</f>
        <v>CY</v>
      </c>
      <c r="U250" s="58" t="str">
        <f t="shared" si="34"/>
        <v>NLC</v>
      </c>
      <c r="V250" s="58" t="str">
        <f>VLOOKUP(U250,BCConc!$L$1:$M$36,2,0)</f>
        <v>Pozo</v>
      </c>
    </row>
    <row r="251" spans="1:22" ht="15" customHeight="1">
      <c r="A251" s="17" t="s">
        <v>161</v>
      </c>
      <c r="B251" s="11" t="s">
        <v>155</v>
      </c>
      <c r="C251" s="18" t="str">
        <f t="shared" si="39"/>
        <v>NLCA-0138</v>
      </c>
      <c r="D251" s="8">
        <f>+VLOOKUP(C:C,CtrlPozo!$B:$O,13,0)</f>
        <v>6.3</v>
      </c>
      <c r="E251" s="8">
        <f>+VLOOKUP(C:C,CtrlPozo!$B:$O,12,0)</f>
        <v>123.62</v>
      </c>
      <c r="F251" s="11">
        <f t="shared" si="31"/>
        <v>129.92000000000002</v>
      </c>
      <c r="G251" s="11">
        <f>IFERROR(VLOOKUP(C:C,CtrlPozo!$B:$O,10,0),"")</f>
        <v>6539</v>
      </c>
      <c r="H251" s="9" t="s">
        <v>92</v>
      </c>
      <c r="I251" s="9">
        <f>VLOOKUP(H:H,LP!$A:$C,3,0)</f>
        <v>8.76</v>
      </c>
      <c r="J251" s="10" t="s">
        <v>156</v>
      </c>
      <c r="K251" s="10" t="s">
        <v>90</v>
      </c>
      <c r="L251" s="10" t="str">
        <f t="shared" si="37"/>
        <v>3M</v>
      </c>
      <c r="M251" s="9" t="s">
        <v>109</v>
      </c>
      <c r="N251" s="34">
        <f>HLOOKUP(VLOOKUP(J251,BCConc!$B:$D,3,0),$D$1:$G$259,ROW(B251),0)</f>
        <v>123.62</v>
      </c>
      <c r="O251" s="34"/>
      <c r="P251" s="34"/>
      <c r="Q251" s="34">
        <v>200</v>
      </c>
      <c r="R251" s="58">
        <f t="shared" si="32"/>
        <v>66.666666666666671</v>
      </c>
      <c r="S251" s="58">
        <f t="shared" si="33"/>
        <v>584</v>
      </c>
      <c r="T251" s="58" t="str">
        <f>VLOOKUP(J251,BCConc!$B:$E,4,0)</f>
        <v>IC/CY</v>
      </c>
      <c r="U251" s="58" t="str">
        <f t="shared" si="34"/>
        <v>NLC</v>
      </c>
      <c r="V251" s="58" t="str">
        <f>VLOOKUP(U251,BCConc!$L$1:$M$36,2,0)</f>
        <v>Pozo</v>
      </c>
    </row>
    <row r="252" spans="1:22" ht="15" customHeight="1">
      <c r="A252" s="17" t="s">
        <v>161</v>
      </c>
      <c r="B252" s="11" t="s">
        <v>149</v>
      </c>
      <c r="C252" s="18" t="str">
        <f t="shared" si="39"/>
        <v>NLCA-0142</v>
      </c>
      <c r="D252" s="8">
        <f>+VLOOKUP(C:C,CtrlPozo!$B:$O,13,0)</f>
        <v>3.12</v>
      </c>
      <c r="E252" s="8">
        <f>+VLOOKUP(C:C,CtrlPozo!$B:$O,12,0)</f>
        <v>22.77</v>
      </c>
      <c r="F252" s="11">
        <f t="shared" si="31"/>
        <v>25.89</v>
      </c>
      <c r="G252" s="11">
        <f>IFERROR(VLOOKUP(C:C,CtrlPozo!$B:$O,10,0),"")</f>
        <v>6604</v>
      </c>
      <c r="H252" s="9" t="s">
        <v>92</v>
      </c>
      <c r="I252" s="9">
        <f>VLOOKUP(H:H,LP!$A:$C,3,0)</f>
        <v>8.76</v>
      </c>
      <c r="J252" s="10" t="s">
        <v>156</v>
      </c>
      <c r="K252" s="10" t="s">
        <v>90</v>
      </c>
      <c r="L252" s="10" t="str">
        <f t="shared" si="37"/>
        <v>8M</v>
      </c>
      <c r="M252" s="9" t="s">
        <v>109</v>
      </c>
      <c r="N252" s="34">
        <f>HLOOKUP(VLOOKUP(J252,BCConc!$B:$D,3,0),$D$1:$G$259,ROW(B252),0)</f>
        <v>22.77</v>
      </c>
      <c r="O252" s="34"/>
      <c r="P252" s="34"/>
      <c r="Q252" s="34">
        <v>200</v>
      </c>
      <c r="R252" s="58">
        <f t="shared" si="32"/>
        <v>25</v>
      </c>
      <c r="S252" s="58">
        <f t="shared" si="33"/>
        <v>219</v>
      </c>
      <c r="T252" s="58" t="str">
        <f>VLOOKUP(J252,BCConc!$B:$E,4,0)</f>
        <v>IC/CY</v>
      </c>
      <c r="U252" s="58" t="str">
        <f t="shared" si="34"/>
        <v>NLC</v>
      </c>
      <c r="V252" s="58" t="str">
        <f>VLOOKUP(U252,BCConc!$L$1:$M$36,2,0)</f>
        <v>Pozo</v>
      </c>
    </row>
    <row r="253" spans="1:22" ht="15" customHeight="1">
      <c r="A253" s="19" t="s">
        <v>170</v>
      </c>
      <c r="B253" s="11" t="s">
        <v>1163</v>
      </c>
      <c r="C253" s="8" t="str">
        <f t="shared" si="39"/>
        <v>NLA.x-1</v>
      </c>
      <c r="D253" s="8">
        <f>+VLOOKUP(C:C,CtrlPozo!$B:$O,13,0)</f>
        <v>4.9000000000000004</v>
      </c>
      <c r="E253" s="8">
        <f>+VLOOKUP(C:C,CtrlPozo!$B:$O,12,0)</f>
        <v>9.7799999999999994</v>
      </c>
      <c r="F253" s="11">
        <f t="shared" si="31"/>
        <v>14.68</v>
      </c>
      <c r="G253" s="11">
        <f>IFERROR(VLOOKUP(C:C,CtrlPozo!$B:$O,10,0),"")</f>
        <v>1800</v>
      </c>
      <c r="H253" s="9" t="s">
        <v>91</v>
      </c>
      <c r="I253" s="9">
        <f>VLOOKUP(H:H,LP!$A:$C,3,0)</f>
        <v>10.58</v>
      </c>
      <c r="J253" s="12" t="s">
        <v>12</v>
      </c>
      <c r="K253" s="10" t="s">
        <v>90</v>
      </c>
      <c r="L253" s="10" t="str">
        <f t="shared" si="37"/>
        <v>8M</v>
      </c>
      <c r="M253" s="9" t="s">
        <v>109</v>
      </c>
      <c r="N253" s="34">
        <f>HLOOKUP(VLOOKUP(J253,BCConc!$B:$D,3,0),$D$1:$G$259,ROW(B253),0)</f>
        <v>9.7799999999999994</v>
      </c>
      <c r="O253" s="34"/>
      <c r="P253" s="34"/>
      <c r="Q253" s="34">
        <v>200</v>
      </c>
      <c r="R253" s="58">
        <f t="shared" si="32"/>
        <v>25</v>
      </c>
      <c r="S253" s="58">
        <f t="shared" si="33"/>
        <v>264.5</v>
      </c>
      <c r="T253" s="58" t="str">
        <f>VLOOKUP(J253,BCConc!$B:$E,4,0)</f>
        <v>IC</v>
      </c>
      <c r="U253" s="58" t="str">
        <f t="shared" si="34"/>
        <v>NLA</v>
      </c>
      <c r="V253" s="58" t="str">
        <f>VLOOKUP(U253,BCConc!$L$1:$M$36,2,0)</f>
        <v>Pozo</v>
      </c>
    </row>
    <row r="254" spans="1:22" ht="15" customHeight="1">
      <c r="A254" s="32" t="s">
        <v>167</v>
      </c>
      <c r="B254" s="34" t="s">
        <v>1167</v>
      </c>
      <c r="C254" s="8" t="str">
        <f t="shared" ref="C254" si="40">B254</f>
        <v>MdVO.x-1</v>
      </c>
      <c r="D254" s="8">
        <f>+VLOOKUP(C:C,CtrlPozo!$B:$O,13,0)</f>
        <v>2.78</v>
      </c>
      <c r="E254" s="8">
        <f>+VLOOKUP(C:C,CtrlPozo!$B:$O,12,0)</f>
        <v>15.52</v>
      </c>
      <c r="F254" s="11">
        <f t="shared" si="31"/>
        <v>18.3</v>
      </c>
      <c r="G254" s="11">
        <f>IFERROR(VLOOKUP(C:C,CtrlPozo!$B:$O,10,0),"")</f>
        <v>5200</v>
      </c>
      <c r="H254" s="9" t="s">
        <v>92</v>
      </c>
      <c r="I254" s="9">
        <f>VLOOKUP(H:H,LP!$A:$C,3,0)</f>
        <v>8.76</v>
      </c>
      <c r="J254" s="10" t="s">
        <v>156</v>
      </c>
      <c r="K254" s="10" t="s">
        <v>90</v>
      </c>
      <c r="L254" s="10" t="str">
        <f t="shared" si="37"/>
        <v>8M</v>
      </c>
      <c r="M254" s="9" t="s">
        <v>109</v>
      </c>
      <c r="N254" s="34">
        <f>HLOOKUP(VLOOKUP(J254,BCConc!$B:$D,3,0),$D$1:$G$259,ROW(B254),0)</f>
        <v>15.52</v>
      </c>
      <c r="O254" s="34"/>
      <c r="P254" s="34"/>
      <c r="Q254" s="34">
        <v>200</v>
      </c>
      <c r="R254" s="58">
        <f t="shared" si="32"/>
        <v>25</v>
      </c>
      <c r="S254" s="58">
        <f t="shared" si="33"/>
        <v>219</v>
      </c>
      <c r="T254" s="58" t="str">
        <f>VLOOKUP(J254,BCConc!$B:$E,4,0)</f>
        <v>IC/CY</v>
      </c>
      <c r="U254" s="58" t="str">
        <f t="shared" si="34"/>
        <v>MdV</v>
      </c>
      <c r="V254" s="58" t="str">
        <f>VLOOKUP(U254,BCConc!$L$1:$M$36,2,0)</f>
        <v>Pozo</v>
      </c>
    </row>
    <row r="255" spans="1:22" ht="15" customHeight="1">
      <c r="A255" s="31" t="s">
        <v>162</v>
      </c>
      <c r="B255" s="34" t="s">
        <v>980</v>
      </c>
      <c r="C255" s="18" t="str">
        <f>B255</f>
        <v>LR.a-2</v>
      </c>
      <c r="D255" s="8">
        <f>+VLOOKUP(C:C,CtrlPozo!$B:$O,13,0)</f>
        <v>2.4700000000000002</v>
      </c>
      <c r="E255" s="8">
        <f>+VLOOKUP(C:C,CtrlPozo!$B:$O,12,0)</f>
        <v>0.34</v>
      </c>
      <c r="F255" s="11">
        <f t="shared" si="31"/>
        <v>2.81</v>
      </c>
      <c r="G255" s="11">
        <f>IFERROR(VLOOKUP(C:C,CtrlPozo!$B:$O,10,0),"")</f>
        <v>407</v>
      </c>
      <c r="H255" s="9" t="s">
        <v>92</v>
      </c>
      <c r="I255" s="9">
        <f>VLOOKUP(H:H,LP!$A:$C,3,0)</f>
        <v>8.76</v>
      </c>
      <c r="J255" s="10" t="s">
        <v>156</v>
      </c>
      <c r="K255" s="10" t="s">
        <v>90</v>
      </c>
      <c r="L255" s="10" t="str">
        <f t="shared" si="37"/>
        <v>8M</v>
      </c>
      <c r="M255" s="9" t="s">
        <v>109</v>
      </c>
      <c r="N255" s="34">
        <f>HLOOKUP(VLOOKUP(J255,BCConc!$B:$D,3,0),$D$1:$G$259,ROW(B255),0)</f>
        <v>0.34</v>
      </c>
      <c r="O255" s="34"/>
      <c r="P255" s="34"/>
      <c r="Q255" s="34">
        <v>200</v>
      </c>
      <c r="R255" s="58">
        <f t="shared" si="32"/>
        <v>25</v>
      </c>
      <c r="S255" s="58">
        <f t="shared" si="33"/>
        <v>219</v>
      </c>
      <c r="T255" s="58" t="str">
        <f>VLOOKUP(J255,BCConc!$B:$E,4,0)</f>
        <v>IC/CY</v>
      </c>
      <c r="U255" s="58" t="str">
        <f t="shared" si="34"/>
        <v>LR.</v>
      </c>
      <c r="V255" s="58" t="str">
        <f>VLOOKUP(U255,BCConc!$L$1:$M$36,2,0)</f>
        <v>Pozo</v>
      </c>
    </row>
    <row r="256" spans="1:22" ht="15" customHeight="1">
      <c r="A256" s="31" t="s">
        <v>162</v>
      </c>
      <c r="B256" s="34" t="s">
        <v>1004</v>
      </c>
      <c r="C256" s="18" t="str">
        <f>B256</f>
        <v>LR-4</v>
      </c>
      <c r="D256" s="8">
        <f>+VLOOKUP(C:C,CtrlPozo!$B:$O,13,0)</f>
        <v>0.21</v>
      </c>
      <c r="E256" s="8">
        <f>+VLOOKUP(C:C,CtrlPozo!$B:$O,12,0)</f>
        <v>0.19</v>
      </c>
      <c r="F256" s="11">
        <f t="shared" si="31"/>
        <v>0.4</v>
      </c>
      <c r="G256" s="11">
        <f>IFERROR(VLOOKUP(C:C,CtrlPozo!$B:$O,10,0),"")</f>
        <v>19</v>
      </c>
      <c r="H256" s="9" t="s">
        <v>91</v>
      </c>
      <c r="I256" s="9">
        <f>VLOOKUP(H:H,LP!$A:$C,3,0)</f>
        <v>10.58</v>
      </c>
      <c r="J256" s="12" t="s">
        <v>12</v>
      </c>
      <c r="K256" s="10" t="s">
        <v>90</v>
      </c>
      <c r="L256" s="10" t="str">
        <f t="shared" si="37"/>
        <v>8M</v>
      </c>
      <c r="M256" s="9" t="s">
        <v>109</v>
      </c>
      <c r="N256" s="34">
        <f>HLOOKUP(VLOOKUP(J256,BCConc!$B:$D,3,0),$D$1:$G$259,ROW(B256),0)</f>
        <v>0.19</v>
      </c>
      <c r="O256" s="34"/>
      <c r="P256" s="34"/>
      <c r="Q256" s="34">
        <v>200</v>
      </c>
      <c r="R256" s="58">
        <f t="shared" si="32"/>
        <v>25</v>
      </c>
      <c r="S256" s="58">
        <f t="shared" si="33"/>
        <v>264.5</v>
      </c>
      <c r="T256" s="58" t="str">
        <f>VLOOKUP(J256,BCConc!$B:$E,4,0)</f>
        <v>IC</v>
      </c>
      <c r="U256" s="58" t="str">
        <f t="shared" si="34"/>
        <v>LR-</v>
      </c>
      <c r="V256" s="58" t="str">
        <f>VLOOKUP(U256,BCConc!$L$1:$M$36,2,0)</f>
        <v>Pozo</v>
      </c>
    </row>
    <row r="257" spans="1:22" ht="15" customHeight="1">
      <c r="A257" s="31" t="s">
        <v>162</v>
      </c>
      <c r="B257" s="34" t="s">
        <v>1034</v>
      </c>
      <c r="C257" s="18" t="str">
        <f>B257</f>
        <v>LR-7(h)</v>
      </c>
      <c r="D257" s="8">
        <f>+VLOOKUP(C:C,CtrlPozo!$B:$O,13,0)</f>
        <v>0.3</v>
      </c>
      <c r="E257" s="8">
        <f>+VLOOKUP(C:C,CtrlPozo!$B:$O,12,0)</f>
        <v>1.68</v>
      </c>
      <c r="F257" s="11">
        <f t="shared" si="31"/>
        <v>1.98</v>
      </c>
      <c r="G257" s="11">
        <f>IFERROR(VLOOKUP(C:C,CtrlPozo!$B:$O,10,0),"")</f>
        <v>26</v>
      </c>
      <c r="H257" s="9" t="s">
        <v>92</v>
      </c>
      <c r="I257" s="9">
        <f>VLOOKUP(H:H,LP!$A:$C,3,0)</f>
        <v>8.76</v>
      </c>
      <c r="J257" s="10" t="s">
        <v>156</v>
      </c>
      <c r="K257" s="10" t="s">
        <v>90</v>
      </c>
      <c r="L257" s="10" t="str">
        <f t="shared" si="37"/>
        <v>8M</v>
      </c>
      <c r="M257" s="9" t="s">
        <v>109</v>
      </c>
      <c r="N257" s="34">
        <f>HLOOKUP(VLOOKUP(J257,BCConc!$B:$D,3,0),$D$1:$G$259,ROW(B257),0)</f>
        <v>1.68</v>
      </c>
      <c r="O257" s="34"/>
      <c r="P257" s="34"/>
      <c r="Q257" s="34">
        <v>200</v>
      </c>
      <c r="R257" s="58">
        <f t="shared" si="32"/>
        <v>25</v>
      </c>
      <c r="S257" s="58">
        <f t="shared" si="33"/>
        <v>219</v>
      </c>
      <c r="T257" s="58" t="str">
        <f>VLOOKUP(J257,BCConc!$B:$E,4,0)</f>
        <v>IC/CY</v>
      </c>
      <c r="U257" s="58" t="str">
        <f t="shared" si="34"/>
        <v>LR-</v>
      </c>
      <c r="V257" s="58" t="str">
        <f>VLOOKUP(U257,BCConc!$L$1:$M$36,2,0)</f>
        <v>Pozo</v>
      </c>
    </row>
    <row r="258" spans="1:22" ht="15" customHeight="1">
      <c r="A258" s="31" t="s">
        <v>162</v>
      </c>
      <c r="B258" s="8" t="s">
        <v>916</v>
      </c>
      <c r="C258" s="18" t="str">
        <f>B258</f>
        <v>NLDM-43</v>
      </c>
      <c r="D258" s="8">
        <f>+VLOOKUP(C:C,CtrlPozo!$B:$O,13,0)</f>
        <v>0.02</v>
      </c>
      <c r="E258" s="8">
        <f>+VLOOKUP(C:C,CtrlPozo!$B:$O,12,0)</f>
        <v>19.28</v>
      </c>
      <c r="F258" s="11">
        <f t="shared" si="31"/>
        <v>19.3</v>
      </c>
      <c r="G258" s="11">
        <f>IFERROR(VLOOKUP(C:C,CtrlPozo!$B:$O,10,0),"")</f>
        <v>0</v>
      </c>
      <c r="H258" s="9" t="s">
        <v>91</v>
      </c>
      <c r="I258" s="9">
        <f>VLOOKUP(H:H,LP!$A:$C,3,0)</f>
        <v>10.58</v>
      </c>
      <c r="J258" s="12" t="s">
        <v>12</v>
      </c>
      <c r="K258" s="10" t="s">
        <v>90</v>
      </c>
      <c r="L258" s="10" t="str">
        <f t="shared" si="37"/>
        <v>8M</v>
      </c>
      <c r="M258" s="9" t="s">
        <v>109</v>
      </c>
      <c r="N258" s="34">
        <f>HLOOKUP(VLOOKUP(J258,BCConc!$B:$D,3,0),$D$1:$G$259,ROW(B258),0)</f>
        <v>19.28</v>
      </c>
      <c r="O258" s="34"/>
      <c r="P258" s="34"/>
      <c r="Q258" s="34">
        <v>200</v>
      </c>
      <c r="R258" s="58">
        <f t="shared" si="32"/>
        <v>25</v>
      </c>
      <c r="S258" s="58">
        <f t="shared" si="33"/>
        <v>264.5</v>
      </c>
      <c r="T258" s="58" t="str">
        <f>VLOOKUP(J258,BCConc!$B:$E,4,0)</f>
        <v>IC</v>
      </c>
      <c r="U258" s="58" t="str">
        <f t="shared" si="34"/>
        <v>NLD</v>
      </c>
      <c r="V258" s="58" t="str">
        <f>VLOOKUP(U258,BCConc!$L$1:$M$36,2,0)</f>
        <v>Pozo</v>
      </c>
    </row>
    <row r="259" spans="1:22" ht="15" customHeight="1">
      <c r="A259" s="31" t="s">
        <v>162</v>
      </c>
      <c r="B259" s="34" t="s">
        <v>978</v>
      </c>
      <c r="C259" s="18" t="str">
        <f>B259</f>
        <v>LDM-79</v>
      </c>
      <c r="D259" s="8">
        <f>+VLOOKUP(C:C,CtrlPozo!$B:$O,13,0)</f>
        <v>1.91</v>
      </c>
      <c r="E259" s="8">
        <f>+VLOOKUP(C:C,CtrlPozo!$B:$O,12,0)</f>
        <v>29.07</v>
      </c>
      <c r="F259" s="11">
        <f t="shared" si="31"/>
        <v>30.98</v>
      </c>
      <c r="G259" s="11">
        <f>IFERROR(VLOOKUP(C:C,CtrlPozo!$B:$O,10,0),"")</f>
        <v>174</v>
      </c>
      <c r="H259" s="9" t="s">
        <v>92</v>
      </c>
      <c r="I259" s="9">
        <f>VLOOKUP(H:H,LP!$A:$C,3,0)</f>
        <v>8.76</v>
      </c>
      <c r="J259" s="10" t="s">
        <v>156</v>
      </c>
      <c r="K259" s="10" t="s">
        <v>90</v>
      </c>
      <c r="L259" s="10" t="str">
        <f t="shared" si="37"/>
        <v>6M</v>
      </c>
      <c r="M259" s="9" t="s">
        <v>109</v>
      </c>
      <c r="N259" s="34">
        <f>HLOOKUP(VLOOKUP(J259,BCConc!$B:$D,3,0),$D$1:$G$259,ROW(B259),0)</f>
        <v>29.07</v>
      </c>
      <c r="O259" s="34"/>
      <c r="P259" s="34"/>
      <c r="Q259" s="34">
        <v>200</v>
      </c>
      <c r="R259" s="58">
        <f t="shared" si="32"/>
        <v>33.333333333333336</v>
      </c>
      <c r="S259" s="58">
        <f t="shared" si="33"/>
        <v>292</v>
      </c>
      <c r="T259" s="58" t="str">
        <f>VLOOKUP(J259,BCConc!$B:$E,4,0)</f>
        <v>IC/CY</v>
      </c>
      <c r="U259" s="58" t="str">
        <f t="shared" si="34"/>
        <v>LDM</v>
      </c>
      <c r="V259" s="58" t="str">
        <f>VLOOKUP(U259,BCConc!$L$1:$M$36,2,0)</f>
        <v>Pozo</v>
      </c>
    </row>
  </sheetData>
  <conditionalFormatting sqref="J65 J155 J129:J131 J81 J135:J137 J56 J40:J42 J32:J38">
    <cfRule type="cellIs" dxfId="149" priority="137" operator="greaterThan">
      <formula>1</formula>
    </cfRule>
    <cfRule type="cellIs" dxfId="148" priority="138" operator="equal">
      <formula>#N/A</formula>
    </cfRule>
  </conditionalFormatting>
  <conditionalFormatting sqref="J85">
    <cfRule type="cellIs" dxfId="147" priority="121" operator="greaterThan">
      <formula>1</formula>
    </cfRule>
    <cfRule type="cellIs" dxfId="146" priority="122" operator="equal">
      <formula>#N/A</formula>
    </cfRule>
  </conditionalFormatting>
  <conditionalFormatting sqref="J87">
    <cfRule type="cellIs" dxfId="145" priority="119" operator="greaterThan">
      <formula>1</formula>
    </cfRule>
    <cfRule type="cellIs" dxfId="144" priority="120" operator="equal">
      <formula>#N/A</formula>
    </cfRule>
  </conditionalFormatting>
  <conditionalFormatting sqref="J74:J76">
    <cfRule type="cellIs" dxfId="143" priority="127" operator="greaterThan">
      <formula>1</formula>
    </cfRule>
    <cfRule type="cellIs" dxfId="142" priority="128" operator="equal">
      <formula>#N/A</formula>
    </cfRule>
  </conditionalFormatting>
  <conditionalFormatting sqref="J8:J10">
    <cfRule type="cellIs" dxfId="141" priority="171" operator="greaterThan">
      <formula>1</formula>
    </cfRule>
    <cfRule type="cellIs" dxfId="140" priority="172" operator="equal">
      <formula>#N/A</formula>
    </cfRule>
  </conditionalFormatting>
  <conditionalFormatting sqref="J4:J7">
    <cfRule type="cellIs" dxfId="139" priority="169" operator="greaterThan">
      <formula>1</formula>
    </cfRule>
    <cfRule type="cellIs" dxfId="138" priority="170" operator="equal">
      <formula>#N/A</formula>
    </cfRule>
  </conditionalFormatting>
  <conditionalFormatting sqref="J12:J13">
    <cfRule type="cellIs" dxfId="137" priority="167" operator="greaterThan">
      <formula>1</formula>
    </cfRule>
    <cfRule type="cellIs" dxfId="136" priority="168" operator="equal">
      <formula>#N/A</formula>
    </cfRule>
  </conditionalFormatting>
  <conditionalFormatting sqref="J11">
    <cfRule type="cellIs" dxfId="135" priority="165" operator="greaterThan">
      <formula>1</formula>
    </cfRule>
    <cfRule type="cellIs" dxfId="134" priority="166" operator="equal">
      <formula>#N/A</formula>
    </cfRule>
  </conditionalFormatting>
  <conditionalFormatting sqref="J23:J24">
    <cfRule type="cellIs" dxfId="133" priority="161" operator="greaterThan">
      <formula>1</formula>
    </cfRule>
    <cfRule type="cellIs" dxfId="132" priority="162" operator="equal">
      <formula>#N/A</formula>
    </cfRule>
  </conditionalFormatting>
  <conditionalFormatting sqref="J15:J16 J18">
    <cfRule type="cellIs" dxfId="131" priority="159" operator="greaterThan">
      <formula>1</formula>
    </cfRule>
    <cfRule type="cellIs" dxfId="130" priority="160" operator="equal">
      <formula>#N/A</formula>
    </cfRule>
  </conditionalFormatting>
  <conditionalFormatting sqref="J19:J21">
    <cfRule type="cellIs" dxfId="129" priority="157" operator="greaterThan">
      <formula>1</formula>
    </cfRule>
    <cfRule type="cellIs" dxfId="128" priority="158" operator="equal">
      <formula>#N/A</formula>
    </cfRule>
  </conditionalFormatting>
  <conditionalFormatting sqref="J25:J30">
    <cfRule type="cellIs" dxfId="127" priority="155" operator="greaterThan">
      <formula>1</formula>
    </cfRule>
    <cfRule type="cellIs" dxfId="126" priority="156" operator="equal">
      <formula>#N/A</formula>
    </cfRule>
  </conditionalFormatting>
  <conditionalFormatting sqref="J45">
    <cfRule type="cellIs" dxfId="125" priority="153" operator="greaterThan">
      <formula>1</formula>
    </cfRule>
    <cfRule type="cellIs" dxfId="124" priority="154" operator="equal">
      <formula>#N/A</formula>
    </cfRule>
  </conditionalFormatting>
  <conditionalFormatting sqref="J46:J47">
    <cfRule type="cellIs" dxfId="123" priority="147" operator="greaterThan">
      <formula>1</formula>
    </cfRule>
    <cfRule type="cellIs" dxfId="122" priority="148" operator="equal">
      <formula>#N/A</formula>
    </cfRule>
  </conditionalFormatting>
  <conditionalFormatting sqref="J48:J53">
    <cfRule type="cellIs" dxfId="121" priority="145" operator="greaterThan">
      <formula>1</formula>
    </cfRule>
    <cfRule type="cellIs" dxfId="120" priority="146" operator="equal">
      <formula>#N/A</formula>
    </cfRule>
  </conditionalFormatting>
  <conditionalFormatting sqref="J64">
    <cfRule type="cellIs" dxfId="119" priority="139" operator="greaterThan">
      <formula>1</formula>
    </cfRule>
    <cfRule type="cellIs" dxfId="118" priority="140" operator="equal">
      <formula>#N/A</formula>
    </cfRule>
  </conditionalFormatting>
  <conditionalFormatting sqref="J67">
    <cfRule type="cellIs" dxfId="117" priority="135" operator="greaterThan">
      <formula>1</formula>
    </cfRule>
    <cfRule type="cellIs" dxfId="116" priority="136" operator="equal">
      <formula>#N/A</formula>
    </cfRule>
  </conditionalFormatting>
  <conditionalFormatting sqref="J68:J69 J71">
    <cfRule type="cellIs" dxfId="115" priority="131" operator="greaterThan">
      <formula>1</formula>
    </cfRule>
    <cfRule type="cellIs" dxfId="114" priority="132" operator="equal">
      <formula>#N/A</formula>
    </cfRule>
  </conditionalFormatting>
  <conditionalFormatting sqref="J77:J80">
    <cfRule type="cellIs" dxfId="113" priority="129" operator="greaterThan">
      <formula>1</formula>
    </cfRule>
    <cfRule type="cellIs" dxfId="112" priority="130" operator="equal">
      <formula>#N/A</formula>
    </cfRule>
  </conditionalFormatting>
  <conditionalFormatting sqref="J82:J84">
    <cfRule type="cellIs" dxfId="111" priority="123" operator="greaterThan">
      <formula>1</formula>
    </cfRule>
    <cfRule type="cellIs" dxfId="110" priority="124" operator="equal">
      <formula>#N/A</formula>
    </cfRule>
  </conditionalFormatting>
  <conditionalFormatting sqref="J148:J149">
    <cfRule type="cellIs" dxfId="109" priority="67" operator="greaterThan">
      <formula>1</formula>
    </cfRule>
    <cfRule type="cellIs" dxfId="108" priority="68" operator="equal">
      <formula>#N/A</formula>
    </cfRule>
  </conditionalFormatting>
  <conditionalFormatting sqref="J153">
    <cfRule type="cellIs" dxfId="107" priority="63" operator="greaterThan">
      <formula>1</formula>
    </cfRule>
    <cfRule type="cellIs" dxfId="106" priority="64" operator="equal">
      <formula>#N/A</formula>
    </cfRule>
  </conditionalFormatting>
  <conditionalFormatting sqref="J88">
    <cfRule type="cellIs" dxfId="105" priority="117" operator="greaterThan">
      <formula>1</formula>
    </cfRule>
    <cfRule type="cellIs" dxfId="104" priority="118" operator="equal">
      <formula>#N/A</formula>
    </cfRule>
  </conditionalFormatting>
  <conditionalFormatting sqref="J89">
    <cfRule type="cellIs" dxfId="103" priority="115" operator="greaterThan">
      <formula>1</formula>
    </cfRule>
    <cfRule type="cellIs" dxfId="102" priority="116" operator="equal">
      <formula>#N/A</formula>
    </cfRule>
  </conditionalFormatting>
  <conditionalFormatting sqref="J90">
    <cfRule type="cellIs" dxfId="101" priority="113" operator="greaterThan">
      <formula>1</formula>
    </cfRule>
    <cfRule type="cellIs" dxfId="100" priority="114" operator="equal">
      <formula>#N/A</formula>
    </cfRule>
  </conditionalFormatting>
  <conditionalFormatting sqref="J94 J97">
    <cfRule type="cellIs" dxfId="99" priority="111" operator="greaterThan">
      <formula>1</formula>
    </cfRule>
    <cfRule type="cellIs" dxfId="98" priority="112" operator="equal">
      <formula>#N/A</formula>
    </cfRule>
  </conditionalFormatting>
  <conditionalFormatting sqref="J98">
    <cfRule type="cellIs" dxfId="97" priority="109" operator="greaterThan">
      <formula>1</formula>
    </cfRule>
    <cfRule type="cellIs" dxfId="96" priority="110" operator="equal">
      <formula>#N/A</formula>
    </cfRule>
  </conditionalFormatting>
  <conditionalFormatting sqref="J100">
    <cfRule type="cellIs" dxfId="95" priority="105" operator="greaterThan">
      <formula>1</formula>
    </cfRule>
    <cfRule type="cellIs" dxfId="94" priority="106" operator="equal">
      <formula>#N/A</formula>
    </cfRule>
  </conditionalFormatting>
  <conditionalFormatting sqref="J113:J114 J118">
    <cfRule type="cellIs" dxfId="93" priority="101" operator="greaterThan">
      <formula>1</formula>
    </cfRule>
    <cfRule type="cellIs" dxfId="92" priority="102" operator="equal">
      <formula>#N/A</formula>
    </cfRule>
  </conditionalFormatting>
  <conditionalFormatting sqref="J106">
    <cfRule type="cellIs" dxfId="91" priority="99" operator="greaterThan">
      <formula>1</formula>
    </cfRule>
    <cfRule type="cellIs" dxfId="90" priority="100" operator="equal">
      <formula>#N/A</formula>
    </cfRule>
  </conditionalFormatting>
  <conditionalFormatting sqref="J107">
    <cfRule type="cellIs" dxfId="89" priority="97" operator="greaterThan">
      <formula>1</formula>
    </cfRule>
    <cfRule type="cellIs" dxfId="88" priority="98" operator="equal">
      <formula>#N/A</formula>
    </cfRule>
  </conditionalFormatting>
  <conditionalFormatting sqref="J108">
    <cfRule type="cellIs" dxfId="87" priority="95" operator="greaterThan">
      <formula>1</formula>
    </cfRule>
    <cfRule type="cellIs" dxfId="86" priority="96" operator="equal">
      <formula>#N/A</formula>
    </cfRule>
  </conditionalFormatting>
  <conditionalFormatting sqref="J111:J112">
    <cfRule type="cellIs" dxfId="85" priority="93" operator="greaterThan">
      <formula>1</formula>
    </cfRule>
    <cfRule type="cellIs" dxfId="84" priority="94" operator="equal">
      <formula>#N/A</formula>
    </cfRule>
  </conditionalFormatting>
  <conditionalFormatting sqref="J119:J120">
    <cfRule type="cellIs" dxfId="83" priority="89" operator="greaterThan">
      <formula>1</formula>
    </cfRule>
    <cfRule type="cellIs" dxfId="82" priority="90" operator="equal">
      <formula>#N/A</formula>
    </cfRule>
  </conditionalFormatting>
  <conditionalFormatting sqref="J121:J124">
    <cfRule type="cellIs" dxfId="81" priority="87" operator="greaterThan">
      <formula>1</formula>
    </cfRule>
    <cfRule type="cellIs" dxfId="80" priority="88" operator="equal">
      <formula>#N/A</formula>
    </cfRule>
  </conditionalFormatting>
  <conditionalFormatting sqref="J132 J134">
    <cfRule type="cellIs" dxfId="79" priority="83" operator="greaterThan">
      <formula>1</formula>
    </cfRule>
    <cfRule type="cellIs" dxfId="78" priority="84" operator="equal">
      <formula>#N/A</formula>
    </cfRule>
  </conditionalFormatting>
  <conditionalFormatting sqref="J159 J141">
    <cfRule type="cellIs" dxfId="77" priority="77" operator="greaterThan">
      <formula>1</formula>
    </cfRule>
    <cfRule type="cellIs" dxfId="76" priority="78" operator="equal">
      <formula>#N/A</formula>
    </cfRule>
  </conditionalFormatting>
  <conditionalFormatting sqref="J139">
    <cfRule type="cellIs" dxfId="75" priority="75" operator="greaterThan">
      <formula>1</formula>
    </cfRule>
    <cfRule type="cellIs" dxfId="74" priority="76" operator="equal">
      <formula>#N/A</formula>
    </cfRule>
  </conditionalFormatting>
  <conditionalFormatting sqref="J140">
    <cfRule type="cellIs" dxfId="73" priority="73" operator="greaterThan">
      <formula>1</formula>
    </cfRule>
    <cfRule type="cellIs" dxfId="72" priority="74" operator="equal">
      <formula>#N/A</formula>
    </cfRule>
  </conditionalFormatting>
  <conditionalFormatting sqref="J142:J143">
    <cfRule type="cellIs" dxfId="71" priority="71" operator="greaterThan">
      <formula>1</formula>
    </cfRule>
    <cfRule type="cellIs" dxfId="70" priority="72" operator="equal">
      <formula>#N/A</formula>
    </cfRule>
  </conditionalFormatting>
  <conditionalFormatting sqref="J146:J147">
    <cfRule type="cellIs" dxfId="69" priority="69" operator="greaterThan">
      <formula>1</formula>
    </cfRule>
    <cfRule type="cellIs" dxfId="68" priority="70" operator="equal">
      <formula>#N/A</formula>
    </cfRule>
  </conditionalFormatting>
  <conditionalFormatting sqref="J157 J152">
    <cfRule type="cellIs" dxfId="67" priority="65" operator="greaterThan">
      <formula>1</formula>
    </cfRule>
    <cfRule type="cellIs" dxfId="66" priority="66" operator="equal">
      <formula>#N/A</formula>
    </cfRule>
  </conditionalFormatting>
  <conditionalFormatting sqref="J154">
    <cfRule type="cellIs" dxfId="65" priority="61" operator="greaterThan">
      <formula>1</formula>
    </cfRule>
    <cfRule type="cellIs" dxfId="64" priority="62" operator="equal">
      <formula>#N/A</formula>
    </cfRule>
  </conditionalFormatting>
  <conditionalFormatting sqref="J156">
    <cfRule type="cellIs" dxfId="63" priority="59" operator="greaterThan">
      <formula>1</formula>
    </cfRule>
    <cfRule type="cellIs" dxfId="62" priority="60" operator="equal">
      <formula>#N/A</formula>
    </cfRule>
  </conditionalFormatting>
  <conditionalFormatting sqref="J133 J99 J66 J44 J31 J14 J3 J101 J125 J138 J104:J105 J127 J160:J161 J95:J96">
    <cfRule type="cellIs" dxfId="61" priority="57" operator="greaterThan">
      <formula>1</formula>
    </cfRule>
    <cfRule type="cellIs" dxfId="60" priority="58" operator="equal">
      <formula>#N/A</formula>
    </cfRule>
  </conditionalFormatting>
  <conditionalFormatting sqref="J55">
    <cfRule type="cellIs" dxfId="59" priority="53" operator="greaterThan">
      <formula>1</formula>
    </cfRule>
    <cfRule type="cellIs" dxfId="58" priority="54" operator="equal">
      <formula>#N/A</formula>
    </cfRule>
  </conditionalFormatting>
  <conditionalFormatting sqref="K151">
    <cfRule type="cellIs" dxfId="57" priority="45" operator="greaterThan">
      <formula>1</formula>
    </cfRule>
    <cfRule type="cellIs" dxfId="56" priority="46" operator="equal">
      <formula>#N/A</formula>
    </cfRule>
  </conditionalFormatting>
  <conditionalFormatting sqref="J158">
    <cfRule type="cellIs" dxfId="55" priority="41" operator="greaterThan">
      <formula>1</formula>
    </cfRule>
    <cfRule type="cellIs" dxfId="54" priority="42" operator="equal">
      <formula>#N/A</formula>
    </cfRule>
  </conditionalFormatting>
  <conditionalFormatting sqref="J70">
    <cfRule type="cellIs" dxfId="53" priority="39" operator="greaterThan">
      <formula>1</formula>
    </cfRule>
    <cfRule type="cellIs" dxfId="52" priority="40" operator="equal">
      <formula>#N/A</formula>
    </cfRule>
  </conditionalFormatting>
  <conditionalFormatting sqref="J128">
    <cfRule type="cellIs" dxfId="51" priority="37" operator="greaterThan">
      <formula>1</formula>
    </cfRule>
    <cfRule type="cellIs" dxfId="50" priority="38" operator="equal">
      <formula>#N/A</formula>
    </cfRule>
  </conditionalFormatting>
  <conditionalFormatting sqref="J17">
    <cfRule type="cellIs" dxfId="49" priority="35" operator="greaterThan">
      <formula>1</formula>
    </cfRule>
    <cfRule type="cellIs" dxfId="48" priority="36" operator="equal">
      <formula>#N/A</formula>
    </cfRule>
  </conditionalFormatting>
  <conditionalFormatting sqref="J39">
    <cfRule type="cellIs" dxfId="47" priority="33" operator="greaterThan">
      <formula>1</formula>
    </cfRule>
    <cfRule type="cellIs" dxfId="46" priority="34" operator="equal">
      <formula>#N/A</formula>
    </cfRule>
  </conditionalFormatting>
  <conditionalFormatting sqref="J115">
    <cfRule type="cellIs" dxfId="45" priority="31" operator="greaterThan">
      <formula>1</formula>
    </cfRule>
    <cfRule type="cellIs" dxfId="44" priority="32" operator="equal">
      <formula>#N/A</formula>
    </cfRule>
  </conditionalFormatting>
  <conditionalFormatting sqref="J116">
    <cfRule type="cellIs" dxfId="43" priority="29" operator="greaterThan">
      <formula>1</formula>
    </cfRule>
    <cfRule type="cellIs" dxfId="42" priority="30" operator="equal">
      <formula>#N/A</formula>
    </cfRule>
  </conditionalFormatting>
  <conditionalFormatting sqref="J117">
    <cfRule type="cellIs" dxfId="41" priority="27" operator="greaterThan">
      <formula>1</formula>
    </cfRule>
    <cfRule type="cellIs" dxfId="40" priority="28" operator="equal">
      <formula>#N/A</formula>
    </cfRule>
  </conditionalFormatting>
  <conditionalFormatting sqref="J54">
    <cfRule type="cellIs" dxfId="39" priority="25" operator="greaterThan">
      <formula>1</formula>
    </cfRule>
    <cfRule type="cellIs" dxfId="38" priority="26" operator="equal">
      <formula>#N/A</formula>
    </cfRule>
  </conditionalFormatting>
  <conditionalFormatting sqref="J102:J103">
    <cfRule type="cellIs" dxfId="37" priority="23" operator="greaterThan">
      <formula>1</formula>
    </cfRule>
    <cfRule type="cellIs" dxfId="36" priority="24" operator="equal">
      <formula>#N/A</formula>
    </cfRule>
  </conditionalFormatting>
  <conditionalFormatting sqref="J126">
    <cfRule type="cellIs" dxfId="35" priority="21" operator="greaterThan">
      <formula>1</formula>
    </cfRule>
    <cfRule type="cellIs" dxfId="34" priority="22" operator="equal">
      <formula>#N/A</formula>
    </cfRule>
  </conditionalFormatting>
  <conditionalFormatting sqref="J86">
    <cfRule type="cellIs" dxfId="33" priority="19" operator="greaterThan">
      <formula>1</formula>
    </cfRule>
    <cfRule type="cellIs" dxfId="32" priority="20" operator="equal">
      <formula>#N/A</formula>
    </cfRule>
  </conditionalFormatting>
  <conditionalFormatting sqref="J170:J181 J194 J185">
    <cfRule type="cellIs" dxfId="31" priority="17" operator="greaterThan">
      <formula>1</formula>
    </cfRule>
    <cfRule type="cellIs" dxfId="30" priority="18" operator="equal">
      <formula>#N/A</formula>
    </cfRule>
  </conditionalFormatting>
  <conditionalFormatting sqref="J162:K162 J163:J165 K163:K196">
    <cfRule type="cellIs" dxfId="29" priority="15" operator="greaterThan">
      <formula>1</formula>
    </cfRule>
    <cfRule type="cellIs" dxfId="28" priority="16" operator="equal">
      <formula>#N/A</formula>
    </cfRule>
  </conditionalFormatting>
  <conditionalFormatting sqref="J167:J169">
    <cfRule type="cellIs" dxfId="27" priority="13" operator="greaterThan">
      <formula>1</formula>
    </cfRule>
    <cfRule type="cellIs" dxfId="26" priority="14" operator="equal">
      <formula>#N/A</formula>
    </cfRule>
  </conditionalFormatting>
  <conditionalFormatting sqref="J186">
    <cfRule type="cellIs" dxfId="25" priority="11" operator="greaterThan">
      <formula>1</formula>
    </cfRule>
    <cfRule type="cellIs" dxfId="24" priority="12" operator="equal">
      <formula>#N/A</formula>
    </cfRule>
  </conditionalFormatting>
  <conditionalFormatting sqref="J187">
    <cfRule type="cellIs" dxfId="23" priority="9" operator="greaterThan">
      <formula>1</formula>
    </cfRule>
    <cfRule type="cellIs" dxfId="22" priority="10" operator="equal">
      <formula>#N/A</formula>
    </cfRule>
  </conditionalFormatting>
  <conditionalFormatting sqref="J195:J196 J190:J192">
    <cfRule type="cellIs" dxfId="21" priority="7" operator="greaterThan">
      <formula>1</formula>
    </cfRule>
    <cfRule type="cellIs" dxfId="20" priority="8" operator="equal">
      <formula>#N/A</formula>
    </cfRule>
  </conditionalFormatting>
  <conditionalFormatting sqref="J189">
    <cfRule type="cellIs" dxfId="19" priority="5" operator="greaterThan">
      <formula>1</formula>
    </cfRule>
    <cfRule type="cellIs" dxfId="18" priority="6" operator="equal">
      <formula>#N/A</formula>
    </cfRule>
  </conditionalFormatting>
  <conditionalFormatting sqref="J197:J198 J203:J221 J223:J228 J230:J231 J234:J236 J239:J240 J242 J247:J249 J251:J252 J254:J255 J257 J259">
    <cfRule type="cellIs" dxfId="17" priority="3" operator="greaterThan">
      <formula>1</formula>
    </cfRule>
    <cfRule type="cellIs" dxfId="16" priority="4" operator="equal">
      <formula>#N/A</formula>
    </cfRule>
  </conditionalFormatting>
  <conditionalFormatting sqref="J232">
    <cfRule type="cellIs" dxfId="15" priority="1" operator="greaterThan">
      <formula>1</formula>
    </cfRule>
    <cfRule type="cellIs" dxfId="14" priority="2" operator="equal">
      <formula>#N/A</formula>
    </cfRule>
  </conditionalFormatting>
  <pageMargins left="0.7" right="0.7" top="0.75" bottom="0.75" header="0.3" footer="0.3"/>
  <pageSetup orientation="portrait" r:id="rId1"/>
  <headerFooter>
    <oddHeader>&amp;R&amp;"Calibri"&amp;10&amp;K000000Uso Personal&amp;1#</oddHeader>
  </headerFooter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M36"/>
  <sheetViews>
    <sheetView workbookViewId="0">
      <selection activeCell="D30" sqref="D30"/>
    </sheetView>
  </sheetViews>
  <sheetFormatPr baseColWidth="10" defaultRowHeight="15"/>
  <cols>
    <col min="1" max="1" width="1.85546875" customWidth="1"/>
    <col min="2" max="2" width="37.85546875" bestFit="1" customWidth="1"/>
    <col min="6" max="6" width="7" customWidth="1"/>
  </cols>
  <sheetData>
    <row r="1" spans="2:13">
      <c r="B1" s="34" t="s">
        <v>1213</v>
      </c>
      <c r="C1" s="34" t="s">
        <v>1231</v>
      </c>
      <c r="D1" s="34" t="s">
        <v>1232</v>
      </c>
      <c r="E1" s="34" t="s">
        <v>1252</v>
      </c>
      <c r="L1" t="s">
        <v>1291</v>
      </c>
      <c r="M1" t="s">
        <v>1324</v>
      </c>
    </row>
    <row r="2" spans="2:13">
      <c r="B2" s="10" t="s">
        <v>103</v>
      </c>
      <c r="C2" s="34" t="s">
        <v>1229</v>
      </c>
      <c r="D2" s="34">
        <f t="shared" ref="D2:D17" si="0">HLOOKUP(C2,$G$2:$J$3,2,0)</f>
        <v>6</v>
      </c>
      <c r="E2" s="34" t="s">
        <v>1243</v>
      </c>
      <c r="G2" s="34" t="str">
        <f>Tratamientos!D2</f>
        <v>PN</v>
      </c>
      <c r="H2" s="34" t="str">
        <f>Tratamientos!E2</f>
        <v>PA</v>
      </c>
      <c r="I2" s="34" t="str">
        <f>Tratamientos!F2</f>
        <v>PB</v>
      </c>
      <c r="J2" s="34" t="str">
        <f>Tratamientos!G2</f>
        <v>PG</v>
      </c>
      <c r="L2" t="s">
        <v>1292</v>
      </c>
      <c r="M2" t="s">
        <v>1325</v>
      </c>
    </row>
    <row r="3" spans="2:13">
      <c r="B3" s="10" t="s">
        <v>10</v>
      </c>
      <c r="C3" s="34" t="s">
        <v>1224</v>
      </c>
      <c r="D3" s="34">
        <f t="shared" si="0"/>
        <v>5</v>
      </c>
      <c r="E3" s="34" t="s">
        <v>1238</v>
      </c>
      <c r="G3" s="34">
        <f>Tratamientos!D1</f>
        <v>4</v>
      </c>
      <c r="H3" s="34">
        <f>Tratamientos!E1</f>
        <v>5</v>
      </c>
      <c r="I3" s="34">
        <f>Tratamientos!F1</f>
        <v>6</v>
      </c>
      <c r="J3" s="34">
        <f>Tratamientos!G1</f>
        <v>7</v>
      </c>
      <c r="L3" t="s">
        <v>1293</v>
      </c>
      <c r="M3" t="s">
        <v>1326</v>
      </c>
    </row>
    <row r="4" spans="2:13">
      <c r="B4" s="10" t="s">
        <v>12</v>
      </c>
      <c r="C4" s="34" t="s">
        <v>1224</v>
      </c>
      <c r="D4" s="34">
        <f t="shared" si="0"/>
        <v>5</v>
      </c>
      <c r="E4" s="34" t="s">
        <v>1242</v>
      </c>
      <c r="L4" t="s">
        <v>1294</v>
      </c>
      <c r="M4" t="s">
        <v>1326</v>
      </c>
    </row>
    <row r="5" spans="2:13">
      <c r="B5" s="10" t="s">
        <v>13</v>
      </c>
      <c r="C5" s="34" t="s">
        <v>1223</v>
      </c>
      <c r="D5" s="34">
        <f t="shared" si="0"/>
        <v>4</v>
      </c>
      <c r="E5" s="34" t="s">
        <v>1240</v>
      </c>
      <c r="L5" t="s">
        <v>1295</v>
      </c>
      <c r="M5" t="s">
        <v>1330</v>
      </c>
    </row>
    <row r="6" spans="2:13">
      <c r="B6" s="10" t="s">
        <v>14</v>
      </c>
      <c r="C6" s="34" t="s">
        <v>1229</v>
      </c>
      <c r="D6" s="34">
        <f t="shared" si="0"/>
        <v>6</v>
      </c>
      <c r="E6" s="34" t="s">
        <v>1248</v>
      </c>
      <c r="L6" t="s">
        <v>1296</v>
      </c>
      <c r="M6" t="s">
        <v>1330</v>
      </c>
    </row>
    <row r="7" spans="2:13">
      <c r="B7" s="10" t="s">
        <v>17</v>
      </c>
      <c r="C7" s="34" t="s">
        <v>1229</v>
      </c>
      <c r="D7" s="34">
        <f t="shared" si="0"/>
        <v>6</v>
      </c>
      <c r="E7" s="34" t="s">
        <v>1237</v>
      </c>
      <c r="L7" t="s">
        <v>1297</v>
      </c>
      <c r="M7" t="s">
        <v>1330</v>
      </c>
    </row>
    <row r="8" spans="2:13">
      <c r="B8" s="10" t="s">
        <v>19</v>
      </c>
      <c r="C8" s="34" t="s">
        <v>1224</v>
      </c>
      <c r="D8" s="34">
        <f t="shared" si="0"/>
        <v>5</v>
      </c>
      <c r="E8" s="34" t="s">
        <v>1246</v>
      </c>
      <c r="L8" t="s">
        <v>1298</v>
      </c>
      <c r="M8" t="s">
        <v>1330</v>
      </c>
    </row>
    <row r="9" spans="2:13">
      <c r="B9" s="10" t="s">
        <v>29</v>
      </c>
      <c r="C9" s="34" t="s">
        <v>1223</v>
      </c>
      <c r="D9" s="34">
        <f t="shared" si="0"/>
        <v>4</v>
      </c>
      <c r="E9" s="34" t="s">
        <v>1241</v>
      </c>
      <c r="L9" t="s">
        <v>1299</v>
      </c>
      <c r="M9" t="s">
        <v>1327</v>
      </c>
    </row>
    <row r="10" spans="2:13">
      <c r="B10" s="10" t="s">
        <v>78</v>
      </c>
      <c r="C10" s="34" t="s">
        <v>1224</v>
      </c>
      <c r="D10" s="34">
        <f t="shared" si="0"/>
        <v>5</v>
      </c>
      <c r="E10" s="34" t="s">
        <v>1239</v>
      </c>
      <c r="L10" t="s">
        <v>1300</v>
      </c>
      <c r="M10" t="s">
        <v>1328</v>
      </c>
    </row>
    <row r="11" spans="2:13">
      <c r="B11" s="10" t="s">
        <v>111</v>
      </c>
      <c r="C11" s="34" t="s">
        <v>1224</v>
      </c>
      <c r="D11" s="34">
        <f t="shared" si="0"/>
        <v>5</v>
      </c>
      <c r="E11" s="34" t="s">
        <v>1239</v>
      </c>
      <c r="L11" t="s">
        <v>1301</v>
      </c>
      <c r="M11" t="s">
        <v>1328</v>
      </c>
    </row>
    <row r="12" spans="2:13">
      <c r="B12" s="10" t="s">
        <v>46</v>
      </c>
      <c r="C12" s="34" t="s">
        <v>1229</v>
      </c>
      <c r="D12" s="34">
        <f t="shared" si="0"/>
        <v>6</v>
      </c>
      <c r="E12" s="34" t="s">
        <v>1251</v>
      </c>
      <c r="L12" t="s">
        <v>1302</v>
      </c>
      <c r="M12" t="s">
        <v>1329</v>
      </c>
    </row>
    <row r="13" spans="2:13">
      <c r="B13" s="10" t="s">
        <v>44</v>
      </c>
      <c r="C13" s="34" t="s">
        <v>1229</v>
      </c>
      <c r="D13" s="34">
        <f t="shared" si="0"/>
        <v>6</v>
      </c>
      <c r="E13" s="34" t="s">
        <v>1249</v>
      </c>
      <c r="L13" t="s">
        <v>1303</v>
      </c>
      <c r="M13" t="s">
        <v>1330</v>
      </c>
    </row>
    <row r="14" spans="2:13">
      <c r="B14" s="10" t="s">
        <v>58</v>
      </c>
      <c r="C14" s="34" t="s">
        <v>1224</v>
      </c>
      <c r="D14" s="34">
        <f t="shared" si="0"/>
        <v>5</v>
      </c>
      <c r="E14" s="34" t="s">
        <v>1245</v>
      </c>
      <c r="L14" t="s">
        <v>1304</v>
      </c>
      <c r="M14" t="s">
        <v>1326</v>
      </c>
    </row>
    <row r="15" spans="2:13">
      <c r="B15" s="10" t="s">
        <v>80</v>
      </c>
      <c r="C15" s="34" t="s">
        <v>1230</v>
      </c>
      <c r="D15" s="34">
        <f t="shared" si="0"/>
        <v>7</v>
      </c>
      <c r="E15" s="34" t="s">
        <v>1250</v>
      </c>
      <c r="L15" t="s">
        <v>1305</v>
      </c>
      <c r="M15" t="s">
        <v>1328</v>
      </c>
    </row>
    <row r="16" spans="2:13">
      <c r="B16" s="10" t="s">
        <v>152</v>
      </c>
      <c r="C16" s="34" t="s">
        <v>1229</v>
      </c>
      <c r="D16" s="34">
        <f t="shared" si="0"/>
        <v>6</v>
      </c>
      <c r="E16" s="34" t="s">
        <v>1244</v>
      </c>
      <c r="L16" t="s">
        <v>1306</v>
      </c>
      <c r="M16" t="s">
        <v>1330</v>
      </c>
    </row>
    <row r="17" spans="2:13">
      <c r="B17" s="10" t="s">
        <v>156</v>
      </c>
      <c r="C17" s="34" t="s">
        <v>1224</v>
      </c>
      <c r="D17" s="34">
        <f t="shared" si="0"/>
        <v>5</v>
      </c>
      <c r="E17" s="34" t="s">
        <v>1247</v>
      </c>
      <c r="L17" t="s">
        <v>1307</v>
      </c>
      <c r="M17" t="s">
        <v>1330</v>
      </c>
    </row>
    <row r="18" spans="2:13">
      <c r="L18" t="s">
        <v>1308</v>
      </c>
      <c r="M18" t="s">
        <v>1330</v>
      </c>
    </row>
    <row r="19" spans="2:13">
      <c r="L19" t="s">
        <v>1309</v>
      </c>
      <c r="M19" t="s">
        <v>1330</v>
      </c>
    </row>
    <row r="20" spans="2:13">
      <c r="L20" t="s">
        <v>67</v>
      </c>
      <c r="M20" t="s">
        <v>1326</v>
      </c>
    </row>
    <row r="21" spans="2:13">
      <c r="L21" t="s">
        <v>1310</v>
      </c>
      <c r="M21" t="s">
        <v>1326</v>
      </c>
    </row>
    <row r="22" spans="2:13">
      <c r="L22" t="s">
        <v>300</v>
      </c>
      <c r="M22" t="s">
        <v>1326</v>
      </c>
    </row>
    <row r="23" spans="2:13">
      <c r="L23" t="s">
        <v>1311</v>
      </c>
      <c r="M23" t="s">
        <v>1330</v>
      </c>
    </row>
    <row r="24" spans="2:13">
      <c r="L24" t="s">
        <v>369</v>
      </c>
      <c r="M24" t="s">
        <v>1330</v>
      </c>
    </row>
    <row r="25" spans="2:13">
      <c r="L25" t="s">
        <v>1312</v>
      </c>
      <c r="M25" t="s">
        <v>1330</v>
      </c>
    </row>
    <row r="26" spans="2:13">
      <c r="L26" t="s">
        <v>1313</v>
      </c>
      <c r="M26" t="s">
        <v>1330</v>
      </c>
    </row>
    <row r="27" spans="2:13">
      <c r="L27" t="s">
        <v>1314</v>
      </c>
      <c r="M27" t="s">
        <v>1330</v>
      </c>
    </row>
    <row r="28" spans="2:13">
      <c r="L28" t="s">
        <v>1315</v>
      </c>
      <c r="M28" t="s">
        <v>1330</v>
      </c>
    </row>
    <row r="29" spans="2:13">
      <c r="L29" t="s">
        <v>1316</v>
      </c>
      <c r="M29" t="s">
        <v>1330</v>
      </c>
    </row>
    <row r="30" spans="2:13">
      <c r="L30" t="s">
        <v>1317</v>
      </c>
      <c r="M30" t="s">
        <v>1330</v>
      </c>
    </row>
    <row r="31" spans="2:13">
      <c r="L31" t="s">
        <v>1318</v>
      </c>
      <c r="M31" t="s">
        <v>1330</v>
      </c>
    </row>
    <row r="32" spans="2:13">
      <c r="L32" t="s">
        <v>1319</v>
      </c>
      <c r="M32" t="s">
        <v>1330</v>
      </c>
    </row>
    <row r="33" spans="12:13">
      <c r="L33" t="s">
        <v>1320</v>
      </c>
      <c r="M33" t="s">
        <v>1330</v>
      </c>
    </row>
    <row r="34" spans="12:13">
      <c r="L34" t="s">
        <v>1321</v>
      </c>
      <c r="M34" t="s">
        <v>1330</v>
      </c>
    </row>
    <row r="35" spans="12:13">
      <c r="L35" t="s">
        <v>1322</v>
      </c>
      <c r="M35" t="s">
        <v>1330</v>
      </c>
    </row>
    <row r="36" spans="12:13">
      <c r="L36" t="s">
        <v>1323</v>
      </c>
      <c r="M36" t="s">
        <v>1330</v>
      </c>
    </row>
  </sheetData>
  <conditionalFormatting sqref="B7:B9">
    <cfRule type="cellIs" dxfId="13" priority="133" operator="greaterThan">
      <formula>1</formula>
    </cfRule>
    <cfRule type="cellIs" dxfId="12" priority="134" operator="equal">
      <formula>#N/A</formula>
    </cfRule>
  </conditionalFormatting>
  <conditionalFormatting sqref="B3:B6">
    <cfRule type="cellIs" dxfId="11" priority="131" operator="greaterThan">
      <formula>1</formula>
    </cfRule>
    <cfRule type="cellIs" dxfId="10" priority="132" operator="equal">
      <formula>#N/A</formula>
    </cfRule>
  </conditionalFormatting>
  <conditionalFormatting sqref="B11:B12">
    <cfRule type="cellIs" dxfId="9" priority="129" operator="greaterThan">
      <formula>1</formula>
    </cfRule>
    <cfRule type="cellIs" dxfId="8" priority="130" operator="equal">
      <formula>#N/A</formula>
    </cfRule>
  </conditionalFormatting>
  <conditionalFormatting sqref="B10">
    <cfRule type="cellIs" dxfId="7" priority="127" operator="greaterThan">
      <formula>1</formula>
    </cfRule>
    <cfRule type="cellIs" dxfId="6" priority="128" operator="equal">
      <formula>#N/A</formula>
    </cfRule>
  </conditionalFormatting>
  <conditionalFormatting sqref="B14:B15 B17">
    <cfRule type="cellIs" dxfId="5" priority="123" operator="greaterThan">
      <formula>1</formula>
    </cfRule>
    <cfRule type="cellIs" dxfId="4" priority="124" operator="equal">
      <formula>#N/A</formula>
    </cfRule>
  </conditionalFormatting>
  <conditionalFormatting sqref="B13 B2">
    <cfRule type="cellIs" dxfId="3" priority="45" operator="greaterThan">
      <formula>1</formula>
    </cfRule>
    <cfRule type="cellIs" dxfId="2" priority="46" operator="equal">
      <formula>#N/A</formula>
    </cfRule>
  </conditionalFormatting>
  <conditionalFormatting sqref="B16">
    <cfRule type="cellIs" dxfId="1" priority="35" operator="greaterThan">
      <formula>1</formula>
    </cfRule>
    <cfRule type="cellIs" dxfId="0" priority="36" operator="equal">
      <formula>#N/A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2244"/>
  <sheetViews>
    <sheetView zoomScaleNormal="100" workbookViewId="0">
      <selection activeCell="B54" sqref="B54"/>
    </sheetView>
  </sheetViews>
  <sheetFormatPr baseColWidth="10" defaultRowHeight="9"/>
  <cols>
    <col min="1" max="16384" width="11.42578125" style="60"/>
  </cols>
  <sheetData>
    <row r="1" spans="1:2" ht="9.9499999999999993" customHeight="1"/>
    <row r="2" spans="1:2" ht="9.9499999999999993" customHeight="1"/>
    <row r="3" spans="1:2" ht="9.9499999999999993" customHeight="1"/>
    <row r="4" spans="1:2" ht="9.9499999999999993" customHeight="1"/>
    <row r="5" spans="1:2" ht="9.9499999999999993" customHeight="1"/>
    <row r="6" spans="1:2" ht="9.9499999999999993" customHeight="1"/>
    <row r="7" spans="1:2" ht="9.9499999999999993" customHeight="1"/>
    <row r="8" spans="1:2" ht="9.9499999999999993" customHeight="1"/>
    <row r="9" spans="1:2" ht="9.9499999999999993" customHeight="1">
      <c r="A9" s="60">
        <f>B9</f>
        <v>69972</v>
      </c>
      <c r="B9" s="60">
        <f t="shared" ref="B9:B14" si="0">B10+1666</f>
        <v>69972</v>
      </c>
    </row>
    <row r="10" spans="1:2" ht="9.9499999999999993" customHeight="1">
      <c r="A10" s="60">
        <f t="shared" ref="A10:A52" si="1">B10</f>
        <v>68306</v>
      </c>
      <c r="B10" s="60">
        <f t="shared" si="0"/>
        <v>68306</v>
      </c>
    </row>
    <row r="11" spans="1:2" ht="9.9499999999999993" customHeight="1">
      <c r="A11" s="60">
        <f t="shared" si="1"/>
        <v>66640</v>
      </c>
      <c r="B11" s="60">
        <f t="shared" si="0"/>
        <v>66640</v>
      </c>
    </row>
    <row r="12" spans="1:2" ht="9.9499999999999993" customHeight="1">
      <c r="A12" s="60">
        <f t="shared" si="1"/>
        <v>64974</v>
      </c>
      <c r="B12" s="60">
        <f t="shared" si="0"/>
        <v>64974</v>
      </c>
    </row>
    <row r="13" spans="1:2" ht="9.9499999999999993" customHeight="1">
      <c r="A13" s="60">
        <f t="shared" si="1"/>
        <v>63308</v>
      </c>
      <c r="B13" s="60">
        <f t="shared" si="0"/>
        <v>63308</v>
      </c>
    </row>
    <row r="14" spans="1:2" ht="9.9499999999999993" customHeight="1">
      <c r="A14" s="60">
        <f t="shared" si="1"/>
        <v>61642</v>
      </c>
      <c r="B14" s="60">
        <f t="shared" si="0"/>
        <v>61642</v>
      </c>
    </row>
    <row r="15" spans="1:2" ht="9.9499999999999993" customHeight="1">
      <c r="A15" s="60">
        <f t="shared" si="1"/>
        <v>59976</v>
      </c>
      <c r="B15" s="60">
        <f t="shared" ref="B15:B20" si="2">B16+1666</f>
        <v>59976</v>
      </c>
    </row>
    <row r="16" spans="1:2" ht="9.9499999999999993" customHeight="1">
      <c r="A16" s="60">
        <f t="shared" si="1"/>
        <v>58310</v>
      </c>
      <c r="B16" s="60">
        <f t="shared" si="2"/>
        <v>58310</v>
      </c>
    </row>
    <row r="17" spans="1:2" ht="9.9499999999999993" customHeight="1">
      <c r="A17" s="60">
        <f t="shared" si="1"/>
        <v>56644</v>
      </c>
      <c r="B17" s="60">
        <f t="shared" si="2"/>
        <v>56644</v>
      </c>
    </row>
    <row r="18" spans="1:2" ht="9.9499999999999993" customHeight="1">
      <c r="A18" s="60">
        <f t="shared" si="1"/>
        <v>54978</v>
      </c>
      <c r="B18" s="60">
        <f t="shared" si="2"/>
        <v>54978</v>
      </c>
    </row>
    <row r="19" spans="1:2" ht="9.9499999999999993" customHeight="1">
      <c r="A19" s="60">
        <f t="shared" si="1"/>
        <v>53312</v>
      </c>
      <c r="B19" s="60">
        <f t="shared" si="2"/>
        <v>53312</v>
      </c>
    </row>
    <row r="20" spans="1:2" ht="9.9499999999999993" customHeight="1">
      <c r="A20" s="60">
        <f t="shared" si="1"/>
        <v>51646</v>
      </c>
      <c r="B20" s="60">
        <f t="shared" si="2"/>
        <v>51646</v>
      </c>
    </row>
    <row r="21" spans="1:2" ht="9.9499999999999993" customHeight="1">
      <c r="A21" s="60">
        <f t="shared" si="1"/>
        <v>49980</v>
      </c>
      <c r="B21" s="60">
        <f t="shared" ref="B21:B26" si="3">B22+1666</f>
        <v>49980</v>
      </c>
    </row>
    <row r="22" spans="1:2" ht="9.9499999999999993" customHeight="1">
      <c r="A22" s="60">
        <f t="shared" si="1"/>
        <v>48314</v>
      </c>
      <c r="B22" s="60">
        <f t="shared" si="3"/>
        <v>48314</v>
      </c>
    </row>
    <row r="23" spans="1:2" ht="9.9499999999999993" customHeight="1">
      <c r="A23" s="60">
        <f t="shared" si="1"/>
        <v>46648</v>
      </c>
      <c r="B23" s="60">
        <f t="shared" si="3"/>
        <v>46648</v>
      </c>
    </row>
    <row r="24" spans="1:2" ht="9.9499999999999993" customHeight="1">
      <c r="A24" s="60">
        <f t="shared" si="1"/>
        <v>44982</v>
      </c>
      <c r="B24" s="60">
        <f t="shared" si="3"/>
        <v>44982</v>
      </c>
    </row>
    <row r="25" spans="1:2" ht="9.9499999999999993" customHeight="1">
      <c r="A25" s="60">
        <f t="shared" si="1"/>
        <v>43316</v>
      </c>
      <c r="B25" s="60">
        <f t="shared" si="3"/>
        <v>43316</v>
      </c>
    </row>
    <row r="26" spans="1:2" ht="9.9499999999999993" customHeight="1">
      <c r="A26" s="60">
        <f t="shared" si="1"/>
        <v>41650</v>
      </c>
      <c r="B26" s="60">
        <f t="shared" si="3"/>
        <v>41650</v>
      </c>
    </row>
    <row r="27" spans="1:2" ht="9.9499999999999993" customHeight="1">
      <c r="A27" s="60">
        <f t="shared" si="1"/>
        <v>39984</v>
      </c>
      <c r="B27" s="60">
        <f t="shared" ref="B27:B32" si="4">B28+1666</f>
        <v>39984</v>
      </c>
    </row>
    <row r="28" spans="1:2" ht="9.9499999999999993" customHeight="1">
      <c r="A28" s="60">
        <f t="shared" si="1"/>
        <v>38318</v>
      </c>
      <c r="B28" s="60">
        <f t="shared" si="4"/>
        <v>38318</v>
      </c>
    </row>
    <row r="29" spans="1:2" ht="9.9499999999999993" customHeight="1">
      <c r="A29" s="60">
        <f t="shared" si="1"/>
        <v>36652</v>
      </c>
      <c r="B29" s="60">
        <f t="shared" si="4"/>
        <v>36652</v>
      </c>
    </row>
    <row r="30" spans="1:2" ht="9.9499999999999993" customHeight="1">
      <c r="A30" s="60">
        <f t="shared" si="1"/>
        <v>34986</v>
      </c>
      <c r="B30" s="60">
        <f t="shared" si="4"/>
        <v>34986</v>
      </c>
    </row>
    <row r="31" spans="1:2" ht="9.9499999999999993" customHeight="1">
      <c r="A31" s="60">
        <f t="shared" si="1"/>
        <v>33320</v>
      </c>
      <c r="B31" s="60">
        <f t="shared" si="4"/>
        <v>33320</v>
      </c>
    </row>
    <row r="32" spans="1:2" ht="9.9499999999999993" customHeight="1">
      <c r="A32" s="60">
        <f t="shared" si="1"/>
        <v>31654</v>
      </c>
      <c r="B32" s="60">
        <f t="shared" si="4"/>
        <v>31654</v>
      </c>
    </row>
    <row r="33" spans="1:2" ht="9.9499999999999993" customHeight="1">
      <c r="A33" s="60">
        <f t="shared" si="1"/>
        <v>29988</v>
      </c>
      <c r="B33" s="60">
        <f t="shared" ref="B33:B37" si="5">B34+1666</f>
        <v>29988</v>
      </c>
    </row>
    <row r="34" spans="1:2" ht="9.9499999999999993" customHeight="1">
      <c r="A34" s="60">
        <f t="shared" si="1"/>
        <v>28322</v>
      </c>
      <c r="B34" s="60">
        <f t="shared" si="5"/>
        <v>28322</v>
      </c>
    </row>
    <row r="35" spans="1:2" ht="9.9499999999999993" customHeight="1">
      <c r="A35" s="60">
        <f t="shared" si="1"/>
        <v>26656</v>
      </c>
      <c r="B35" s="60">
        <f t="shared" si="5"/>
        <v>26656</v>
      </c>
    </row>
    <row r="36" spans="1:2" ht="9.9499999999999993" customHeight="1">
      <c r="A36" s="60">
        <f t="shared" si="1"/>
        <v>24990</v>
      </c>
      <c r="B36" s="60">
        <f t="shared" si="5"/>
        <v>24990</v>
      </c>
    </row>
    <row r="37" spans="1:2" ht="9.9499999999999993" customHeight="1">
      <c r="A37" s="60">
        <f t="shared" si="1"/>
        <v>23324</v>
      </c>
      <c r="B37" s="60">
        <f t="shared" si="5"/>
        <v>23324</v>
      </c>
    </row>
    <row r="38" spans="1:2" ht="9.9499999999999993" customHeight="1">
      <c r="A38" s="60">
        <f t="shared" si="1"/>
        <v>21658</v>
      </c>
      <c r="B38" s="60">
        <f>B39+1666</f>
        <v>21658</v>
      </c>
    </row>
    <row r="39" spans="1:2" ht="9.9499999999999993" customHeight="1">
      <c r="A39" s="60">
        <f t="shared" si="1"/>
        <v>19992</v>
      </c>
      <c r="B39" s="60">
        <f t="shared" ref="B39:B44" si="6">B40+1428</f>
        <v>19992</v>
      </c>
    </row>
    <row r="40" spans="1:2" ht="9.9499999999999993" customHeight="1">
      <c r="A40" s="60">
        <f t="shared" si="1"/>
        <v>18564</v>
      </c>
      <c r="B40" s="60">
        <f t="shared" si="6"/>
        <v>18564</v>
      </c>
    </row>
    <row r="41" spans="1:2" ht="9.9499999999999993" customHeight="1">
      <c r="A41" s="60">
        <f t="shared" si="1"/>
        <v>17136</v>
      </c>
      <c r="B41" s="60">
        <f t="shared" si="6"/>
        <v>17136</v>
      </c>
    </row>
    <row r="42" spans="1:2" ht="9.9499999999999993" customHeight="1">
      <c r="A42" s="60">
        <f t="shared" si="1"/>
        <v>15708</v>
      </c>
      <c r="B42" s="60">
        <f t="shared" si="6"/>
        <v>15708</v>
      </c>
    </row>
    <row r="43" spans="1:2" ht="9.9499999999999993" customHeight="1">
      <c r="A43" s="60">
        <f t="shared" si="1"/>
        <v>14280</v>
      </c>
      <c r="B43" s="60">
        <f t="shared" si="6"/>
        <v>14280</v>
      </c>
    </row>
    <row r="44" spans="1:2" ht="9.9499999999999993" customHeight="1">
      <c r="A44" s="60">
        <f t="shared" si="1"/>
        <v>12852</v>
      </c>
      <c r="B44" s="60">
        <f t="shared" si="6"/>
        <v>12852</v>
      </c>
    </row>
    <row r="45" spans="1:2" ht="9.9499999999999993" customHeight="1">
      <c r="A45" s="60">
        <f t="shared" si="1"/>
        <v>11424</v>
      </c>
      <c r="B45" s="60">
        <f>B46+1428</f>
        <v>11424</v>
      </c>
    </row>
    <row r="46" spans="1:2" ht="9.9499999999999993" customHeight="1">
      <c r="A46" s="60">
        <f t="shared" si="1"/>
        <v>9996</v>
      </c>
      <c r="B46" s="61">
        <f t="shared" ref="B46:B50" si="7">B47+1666</f>
        <v>9996</v>
      </c>
    </row>
    <row r="47" spans="1:2" ht="9.9499999999999993" customHeight="1">
      <c r="A47" s="60">
        <f t="shared" si="1"/>
        <v>8330</v>
      </c>
      <c r="B47" s="60">
        <f t="shared" si="7"/>
        <v>8330</v>
      </c>
    </row>
    <row r="48" spans="1:2" ht="9.9499999999999993" customHeight="1">
      <c r="A48" s="60">
        <f t="shared" si="1"/>
        <v>6664</v>
      </c>
      <c r="B48" s="60">
        <f t="shared" si="7"/>
        <v>6664</v>
      </c>
    </row>
    <row r="49" spans="1:2" ht="9.9499999999999993" customHeight="1">
      <c r="A49" s="60">
        <f t="shared" si="1"/>
        <v>4998</v>
      </c>
      <c r="B49" s="60">
        <f t="shared" si="7"/>
        <v>4998</v>
      </c>
    </row>
    <row r="50" spans="1:2" ht="9.9499999999999993" customHeight="1">
      <c r="A50" s="60">
        <f t="shared" si="1"/>
        <v>3332</v>
      </c>
      <c r="B50" s="60">
        <f t="shared" si="7"/>
        <v>3332</v>
      </c>
    </row>
    <row r="51" spans="1:2" ht="9.9499999999999993" customHeight="1">
      <c r="A51" s="60">
        <f t="shared" si="1"/>
        <v>1666</v>
      </c>
      <c r="B51" s="60">
        <f>B52+1666</f>
        <v>1666</v>
      </c>
    </row>
    <row r="52" spans="1:2" ht="9.9499999999999993" customHeight="1">
      <c r="A52" s="60">
        <f t="shared" si="1"/>
        <v>0</v>
      </c>
      <c r="B52" s="59">
        <v>0</v>
      </c>
    </row>
    <row r="53" spans="1:2" ht="9.9499999999999993" customHeight="1"/>
    <row r="54" spans="1:2" ht="9.9499999999999993" customHeight="1"/>
    <row r="55" spans="1:2" ht="9.9499999999999993" customHeight="1"/>
    <row r="56" spans="1:2" ht="9.9499999999999993" customHeight="1"/>
    <row r="57" spans="1:2" ht="9.9499999999999993" customHeight="1"/>
    <row r="58" spans="1:2" ht="9.9499999999999993" customHeight="1"/>
    <row r="59" spans="1:2" ht="9.9499999999999993" customHeight="1"/>
    <row r="60" spans="1:2" ht="9.9499999999999993" customHeight="1"/>
    <row r="61" spans="1:2" ht="9.9499999999999993" customHeight="1"/>
    <row r="62" spans="1:2" ht="9.9499999999999993" customHeight="1"/>
    <row r="63" spans="1:2" ht="9.9499999999999993" customHeight="1"/>
    <row r="64" spans="1:2" ht="9.9499999999999993" customHeight="1"/>
    <row r="65" spans="1:1" ht="9.9499999999999993" customHeight="1"/>
    <row r="66" spans="1:1" ht="9.9499999999999993" customHeight="1"/>
    <row r="67" spans="1:1" ht="9.9499999999999993" customHeight="1"/>
    <row r="68" spans="1:1" ht="9.9499999999999993" customHeight="1"/>
    <row r="69" spans="1:1" ht="9.9499999999999993" customHeight="1"/>
    <row r="70" spans="1:1" ht="9.9499999999999993" customHeight="1">
      <c r="A70" s="61">
        <v>30000</v>
      </c>
    </row>
    <row r="71" spans="1:1" ht="9.9499999999999993" customHeight="1"/>
    <row r="72" spans="1:1" ht="9.9499999999999993" customHeight="1"/>
    <row r="73" spans="1:1" ht="9.9499999999999993" customHeight="1"/>
    <row r="74" spans="1:1" ht="9.9499999999999993" customHeight="1"/>
    <row r="75" spans="1:1" ht="9.9499999999999993" customHeight="1"/>
    <row r="76" spans="1:1" ht="9.9499999999999993" customHeight="1"/>
    <row r="77" spans="1:1" ht="9.9499999999999993" customHeight="1"/>
    <row r="78" spans="1:1" ht="9.9499999999999993" customHeight="1"/>
    <row r="79" spans="1:1" ht="9.9499999999999993" customHeight="1"/>
    <row r="80" spans="1:1" ht="9.9499999999999993" customHeight="1">
      <c r="A80" s="61">
        <v>20000</v>
      </c>
    </row>
    <row r="81" spans="1:1" ht="9.9499999999999993" customHeight="1"/>
    <row r="82" spans="1:1" ht="9.9499999999999993" customHeight="1"/>
    <row r="83" spans="1:1" ht="9.9499999999999993" customHeight="1"/>
    <row r="84" spans="1:1" ht="9.9499999999999993" customHeight="1"/>
    <row r="85" spans="1:1" ht="9.9499999999999993" customHeight="1"/>
    <row r="86" spans="1:1" ht="9.9499999999999993" customHeight="1"/>
    <row r="87" spans="1:1" ht="9.9499999999999993" customHeight="1"/>
    <row r="88" spans="1:1" ht="9.9499999999999993" customHeight="1"/>
    <row r="89" spans="1:1" ht="9.9499999999999993" customHeight="1"/>
    <row r="90" spans="1:1" ht="9.9499999999999993" customHeight="1">
      <c r="A90" s="61">
        <v>10000</v>
      </c>
    </row>
    <row r="91" spans="1:1" ht="9.9499999999999993" customHeight="1"/>
    <row r="92" spans="1:1" ht="9.9499999999999993" customHeight="1"/>
    <row r="93" spans="1:1" ht="9.9499999999999993" customHeight="1"/>
    <row r="94" spans="1:1" ht="9.9499999999999993" customHeight="1"/>
    <row r="95" spans="1:1" ht="9.9499999999999993" customHeight="1"/>
    <row r="96" spans="1:1" ht="9.9499999999999993" customHeight="1"/>
    <row r="97" spans="1:1" ht="9.9499999999999993" customHeight="1"/>
    <row r="98" spans="1:1" ht="9.9499999999999993" customHeight="1"/>
    <row r="99" spans="1:1" ht="9.9499999999999993" customHeight="1"/>
    <row r="100" spans="1:1" ht="9.9499999999999993" customHeight="1">
      <c r="A100" s="61">
        <v>0</v>
      </c>
    </row>
    <row r="101" spans="1:1" ht="9.9499999999999993" customHeight="1"/>
    <row r="102" spans="1:1" ht="9.9499999999999993" customHeight="1"/>
    <row r="103" spans="1:1" ht="9.9499999999999993" customHeight="1"/>
    <row r="104" spans="1:1" ht="9.9499999999999993" customHeight="1"/>
    <row r="105" spans="1:1" ht="9.9499999999999993" customHeight="1"/>
    <row r="106" spans="1:1" ht="9.9499999999999993" customHeight="1"/>
    <row r="107" spans="1:1" ht="9.9499999999999993" customHeight="1"/>
    <row r="108" spans="1:1" ht="9.9499999999999993" customHeight="1"/>
    <row r="109" spans="1:1" ht="9.9499999999999993" customHeight="1"/>
    <row r="110" spans="1:1" ht="9.9499999999999993" customHeight="1"/>
    <row r="111" spans="1:1" ht="9.9499999999999993" customHeight="1"/>
    <row r="112" spans="1:1" ht="9.9499999999999993" customHeight="1"/>
    <row r="113" ht="9.9499999999999993" customHeight="1"/>
    <row r="114" ht="9.9499999999999993" customHeight="1"/>
    <row r="115" ht="9.9499999999999993" customHeight="1"/>
    <row r="116" ht="9.9499999999999993" customHeight="1"/>
    <row r="117" ht="9.9499999999999993" customHeight="1"/>
    <row r="118" ht="9.9499999999999993" customHeight="1"/>
    <row r="119" ht="9.9499999999999993" customHeight="1"/>
    <row r="120" ht="9.9499999999999993" customHeight="1"/>
    <row r="121" ht="9.9499999999999993" customHeight="1"/>
    <row r="122" ht="9.9499999999999993" customHeight="1"/>
    <row r="123" ht="9.9499999999999993" customHeight="1"/>
    <row r="124" ht="9.9499999999999993" customHeight="1"/>
    <row r="125" ht="9.9499999999999993" customHeight="1"/>
    <row r="126" ht="9.9499999999999993" customHeight="1"/>
    <row r="127" ht="9.9499999999999993" customHeight="1"/>
    <row r="128" ht="9.9499999999999993" customHeight="1"/>
    <row r="129" ht="9.9499999999999993" customHeight="1"/>
    <row r="130" ht="9.9499999999999993" customHeight="1"/>
    <row r="131" ht="9.9499999999999993" customHeight="1"/>
    <row r="132" ht="9.9499999999999993" customHeight="1"/>
    <row r="133" ht="9.9499999999999993" customHeight="1"/>
    <row r="134" ht="9.9499999999999993" customHeight="1"/>
    <row r="135" ht="9.9499999999999993" customHeight="1"/>
    <row r="136" ht="9.9499999999999993" customHeight="1"/>
    <row r="137" ht="9.9499999999999993" customHeight="1"/>
    <row r="138" ht="9.9499999999999993" customHeight="1"/>
    <row r="139" ht="9.9499999999999993" customHeight="1"/>
    <row r="140" ht="9.9499999999999993" customHeight="1"/>
    <row r="141" ht="9.9499999999999993" customHeight="1"/>
    <row r="142" ht="9.9499999999999993" customHeight="1"/>
    <row r="143" ht="9.9499999999999993" customHeight="1"/>
    <row r="144" ht="9.9499999999999993" customHeight="1"/>
    <row r="145" ht="9.9499999999999993" customHeight="1"/>
    <row r="146" ht="9.9499999999999993" customHeight="1"/>
    <row r="147" ht="9.9499999999999993" customHeight="1"/>
    <row r="148" ht="9.9499999999999993" customHeight="1"/>
    <row r="149" ht="9.9499999999999993" customHeight="1"/>
    <row r="150" ht="9.9499999999999993" customHeight="1"/>
    <row r="151" ht="9.9499999999999993" customHeight="1"/>
    <row r="152" ht="9.9499999999999993" customHeight="1"/>
    <row r="153" ht="9.9499999999999993" customHeight="1"/>
    <row r="154" ht="9.9499999999999993" customHeight="1"/>
    <row r="155" ht="9.9499999999999993" customHeight="1"/>
    <row r="156" ht="9.9499999999999993" customHeight="1"/>
    <row r="157" ht="9.9499999999999993" customHeight="1"/>
    <row r="158" ht="9.9499999999999993" customHeight="1"/>
    <row r="159" ht="9.9499999999999993" customHeight="1"/>
    <row r="160" ht="9.9499999999999993" customHeight="1"/>
    <row r="161" ht="9.9499999999999993" customHeight="1"/>
    <row r="162" ht="9.9499999999999993" customHeight="1"/>
    <row r="163" ht="9.9499999999999993" customHeight="1"/>
    <row r="164" ht="9.9499999999999993" customHeight="1"/>
    <row r="165" ht="9.9499999999999993" customHeight="1"/>
    <row r="166" ht="9.9499999999999993" customHeight="1"/>
    <row r="167" ht="9.9499999999999993" customHeight="1"/>
    <row r="168" ht="9.9499999999999993" customHeight="1"/>
    <row r="169" ht="9.9499999999999993" customHeight="1"/>
    <row r="170" ht="9.9499999999999993" customHeight="1"/>
    <row r="171" ht="9.9499999999999993" customHeight="1"/>
    <row r="172" ht="9.9499999999999993" customHeight="1"/>
    <row r="173" ht="9.9499999999999993" customHeight="1"/>
    <row r="174" ht="9.9499999999999993" customHeight="1"/>
    <row r="175" ht="9.9499999999999993" customHeight="1"/>
    <row r="176" ht="9.9499999999999993" customHeight="1"/>
    <row r="177" ht="9.9499999999999993" customHeight="1"/>
    <row r="178" ht="9.9499999999999993" customHeight="1"/>
    <row r="179" ht="9.9499999999999993" customHeight="1"/>
    <row r="180" ht="9.9499999999999993" customHeight="1"/>
    <row r="181" ht="9.9499999999999993" customHeight="1"/>
    <row r="182" ht="9.9499999999999993" customHeight="1"/>
    <row r="183" ht="9.9499999999999993" customHeight="1"/>
    <row r="184" ht="9.9499999999999993" customHeight="1"/>
    <row r="185" ht="9.9499999999999993" customHeight="1"/>
    <row r="186" ht="9.9499999999999993" customHeight="1"/>
    <row r="187" ht="9.9499999999999993" customHeight="1"/>
    <row r="188" ht="9.9499999999999993" customHeight="1"/>
    <row r="189" ht="9.9499999999999993" customHeight="1"/>
    <row r="190" ht="9.9499999999999993" customHeight="1"/>
    <row r="191" ht="9.9499999999999993" customHeight="1"/>
    <row r="192" ht="9.9499999999999993" customHeight="1"/>
    <row r="193" ht="9.9499999999999993" customHeight="1"/>
    <row r="194" ht="3" customHeight="1"/>
    <row r="195" ht="3" customHeight="1"/>
    <row r="196" ht="3" customHeight="1"/>
    <row r="197" ht="3" customHeight="1"/>
    <row r="198" ht="3" customHeight="1"/>
    <row r="199" ht="3" customHeight="1"/>
    <row r="200" ht="3" customHeight="1"/>
    <row r="201" ht="3" customHeight="1"/>
    <row r="202" ht="3" customHeight="1"/>
    <row r="203" ht="3" customHeight="1"/>
    <row r="204" ht="3" customHeight="1"/>
    <row r="205" ht="3" customHeight="1"/>
    <row r="206" ht="3" customHeight="1"/>
    <row r="207" ht="3" customHeight="1"/>
    <row r="208" ht="3" customHeight="1"/>
    <row r="209" ht="3" customHeight="1"/>
    <row r="210" ht="3" customHeight="1"/>
    <row r="211" ht="3" customHeight="1"/>
    <row r="212" ht="3" customHeight="1"/>
    <row r="213" ht="3" customHeight="1"/>
    <row r="214" ht="3" customHeight="1"/>
    <row r="215" ht="3" customHeight="1"/>
    <row r="216" ht="3" customHeight="1"/>
    <row r="217" ht="3" customHeight="1"/>
    <row r="218" ht="3" customHeight="1"/>
    <row r="219" ht="3" customHeight="1"/>
    <row r="220" ht="3" customHeight="1"/>
    <row r="221" ht="3" customHeight="1"/>
    <row r="222" ht="3" customHeight="1"/>
    <row r="223" ht="3" customHeight="1"/>
    <row r="224" ht="3" customHeight="1"/>
    <row r="225" ht="3" customHeight="1"/>
    <row r="226" ht="3" customHeight="1"/>
    <row r="227" ht="3" customHeight="1"/>
    <row r="228" ht="3" customHeight="1"/>
    <row r="229" ht="3" customHeight="1"/>
    <row r="230" ht="3" customHeight="1"/>
    <row r="231" ht="3" customHeight="1"/>
    <row r="232" ht="3" customHeight="1"/>
    <row r="233" ht="3" customHeight="1"/>
    <row r="234" ht="3" customHeight="1"/>
    <row r="235" ht="3" customHeight="1"/>
    <row r="236" ht="3" customHeight="1"/>
    <row r="237" ht="3" customHeight="1"/>
    <row r="238" ht="3" customHeight="1"/>
    <row r="239" ht="3" customHeight="1"/>
    <row r="240" ht="3" customHeight="1"/>
    <row r="241" ht="3" customHeight="1"/>
    <row r="242" ht="3" customHeight="1"/>
    <row r="243" ht="3" customHeight="1"/>
    <row r="244" ht="3" customHeight="1"/>
    <row r="245" ht="3" customHeight="1"/>
    <row r="246" ht="3" customHeight="1"/>
    <row r="247" ht="3" customHeight="1"/>
    <row r="248" ht="3" customHeight="1"/>
    <row r="249" ht="3" customHeight="1"/>
    <row r="250" ht="3" customHeight="1"/>
    <row r="251" ht="3" customHeight="1"/>
    <row r="252" ht="3" customHeight="1"/>
    <row r="253" ht="3" customHeight="1"/>
    <row r="254" ht="3" customHeight="1"/>
    <row r="255" ht="3" customHeight="1"/>
    <row r="256" ht="3" customHeight="1"/>
    <row r="257" ht="3" customHeight="1"/>
    <row r="258" ht="3" customHeight="1"/>
    <row r="259" ht="3" customHeight="1"/>
    <row r="260" ht="3" customHeight="1"/>
    <row r="261" ht="3" customHeight="1"/>
    <row r="262" ht="3" customHeight="1"/>
    <row r="263" ht="3" customHeight="1"/>
    <row r="264" ht="3" customHeight="1"/>
    <row r="265" ht="3" customHeight="1"/>
    <row r="266" ht="3" customHeight="1"/>
    <row r="267" ht="3" customHeight="1"/>
    <row r="268" ht="3" customHeight="1"/>
    <row r="269" ht="3" customHeight="1"/>
    <row r="270" ht="3" customHeight="1"/>
    <row r="271" ht="3" customHeight="1"/>
    <row r="272" ht="3" customHeight="1"/>
    <row r="273" ht="3" customHeight="1"/>
    <row r="274" ht="3" customHeight="1"/>
    <row r="275" ht="3" customHeight="1"/>
    <row r="276" ht="3" customHeight="1"/>
    <row r="277" ht="3" customHeight="1"/>
    <row r="278" ht="3" customHeight="1"/>
    <row r="279" ht="3" customHeight="1"/>
    <row r="280" ht="3" customHeight="1"/>
    <row r="281" ht="3" customHeight="1"/>
    <row r="282" ht="3" customHeight="1"/>
    <row r="283" ht="3" customHeight="1"/>
    <row r="284" ht="3" customHeight="1"/>
    <row r="285" ht="3" customHeight="1"/>
    <row r="286" ht="3" customHeight="1"/>
    <row r="287" ht="3" customHeight="1"/>
    <row r="288" ht="3" customHeight="1"/>
    <row r="289" ht="3" customHeight="1"/>
    <row r="290" ht="3" customHeight="1"/>
    <row r="291" ht="3" customHeight="1"/>
    <row r="292" ht="3" customHeight="1"/>
    <row r="293" ht="3" customHeight="1"/>
    <row r="294" ht="3" customHeight="1"/>
    <row r="295" ht="3" customHeight="1"/>
    <row r="296" ht="3" customHeight="1"/>
    <row r="297" ht="3" customHeight="1"/>
    <row r="298" ht="3" customHeight="1"/>
    <row r="299" ht="3" customHeight="1"/>
    <row r="300" ht="3" customHeight="1"/>
    <row r="301" ht="3" customHeight="1"/>
    <row r="302" ht="3" customHeight="1"/>
    <row r="303" ht="3" customHeight="1"/>
    <row r="304" ht="3" customHeight="1"/>
    <row r="305" ht="3" customHeight="1"/>
    <row r="306" ht="3" customHeight="1"/>
    <row r="307" ht="3" customHeight="1"/>
    <row r="308" ht="3" customHeight="1"/>
    <row r="309" ht="3" customHeight="1"/>
    <row r="310" ht="3" customHeight="1"/>
    <row r="311" ht="3" customHeight="1"/>
    <row r="312" ht="3" customHeight="1"/>
    <row r="313" ht="3" customHeight="1"/>
    <row r="314" ht="3" customHeight="1"/>
    <row r="315" ht="3" customHeight="1"/>
    <row r="316" ht="3" customHeight="1"/>
    <row r="317" ht="3" customHeight="1"/>
    <row r="318" ht="3" customHeight="1"/>
    <row r="319" ht="3" customHeight="1"/>
    <row r="320" ht="3" customHeight="1"/>
    <row r="321" ht="3" customHeight="1"/>
    <row r="322" ht="3" customHeight="1"/>
    <row r="323" ht="3" customHeight="1"/>
    <row r="324" ht="3" customHeight="1"/>
    <row r="325" ht="3" customHeight="1"/>
    <row r="326" ht="3" customHeight="1"/>
    <row r="327" ht="3" customHeight="1"/>
    <row r="328" ht="3" customHeight="1"/>
    <row r="329" ht="3" customHeight="1"/>
    <row r="330" ht="3" customHeight="1"/>
    <row r="331" ht="3" customHeight="1"/>
    <row r="332" ht="3" customHeight="1"/>
    <row r="333" ht="3" customHeight="1"/>
    <row r="334" ht="3" customHeight="1"/>
    <row r="335" ht="3" customHeight="1"/>
    <row r="336" ht="3" customHeight="1"/>
    <row r="337" ht="3" customHeight="1"/>
    <row r="338" ht="3" customHeight="1"/>
    <row r="339" ht="3" customHeight="1"/>
    <row r="340" ht="3" customHeight="1"/>
    <row r="341" ht="3" customHeight="1"/>
    <row r="342" ht="3" customHeight="1"/>
    <row r="343" ht="3" customHeight="1"/>
    <row r="344" ht="3" customHeight="1"/>
    <row r="345" ht="3" customHeight="1"/>
    <row r="346" ht="3" customHeight="1"/>
    <row r="347" ht="3" customHeight="1"/>
    <row r="348" ht="3" customHeight="1"/>
    <row r="349" ht="3" customHeight="1"/>
    <row r="350" ht="3" customHeight="1"/>
    <row r="351" ht="3" customHeight="1"/>
    <row r="352" ht="3" customHeight="1"/>
    <row r="353" ht="3" customHeight="1"/>
    <row r="354" ht="3" customHeight="1"/>
    <row r="355" ht="3" customHeight="1"/>
    <row r="356" ht="3" customHeight="1"/>
    <row r="357" ht="3" customHeight="1"/>
    <row r="358" ht="3" customHeight="1"/>
    <row r="359" ht="3" customHeight="1"/>
    <row r="360" ht="3" customHeight="1"/>
    <row r="361" ht="3" customHeight="1"/>
    <row r="362" ht="3" customHeight="1"/>
    <row r="363" ht="3" customHeight="1"/>
    <row r="364" ht="3" customHeight="1"/>
    <row r="365" ht="3" customHeight="1"/>
    <row r="366" ht="3" customHeight="1"/>
    <row r="367" ht="3" customHeight="1"/>
    <row r="368" ht="3" customHeight="1"/>
    <row r="369" ht="3" customHeight="1"/>
    <row r="370" ht="3" customHeight="1"/>
    <row r="371" ht="3" customHeight="1"/>
    <row r="372" ht="3" customHeight="1"/>
    <row r="373" ht="3" customHeight="1"/>
    <row r="374" ht="3" customHeight="1"/>
    <row r="375" ht="3" customHeight="1"/>
    <row r="376" ht="3" customHeight="1"/>
    <row r="377" ht="3" customHeight="1"/>
    <row r="378" ht="3" customHeight="1"/>
    <row r="379" ht="3" customHeight="1"/>
    <row r="380" ht="3" customHeight="1"/>
    <row r="381" ht="3" customHeight="1"/>
    <row r="382" ht="3" customHeight="1"/>
    <row r="383" ht="3" customHeight="1"/>
    <row r="384" ht="3" customHeight="1"/>
    <row r="385" ht="3" customHeight="1"/>
    <row r="386" ht="3" customHeight="1"/>
    <row r="387" ht="3" customHeight="1"/>
    <row r="388" ht="3" customHeight="1"/>
    <row r="389" ht="3" customHeight="1"/>
    <row r="390" ht="3" customHeight="1"/>
    <row r="391" ht="3" customHeight="1"/>
    <row r="392" ht="3" customHeight="1"/>
    <row r="393" ht="3" customHeight="1"/>
    <row r="394" ht="3" customHeight="1"/>
    <row r="395" ht="3" customHeight="1"/>
    <row r="396" ht="3" customHeight="1"/>
    <row r="397" ht="3" customHeight="1"/>
    <row r="398" ht="3" customHeight="1"/>
    <row r="399" ht="3" customHeight="1"/>
    <row r="400" ht="3" customHeight="1"/>
    <row r="401" ht="3" customHeight="1"/>
    <row r="402" ht="3" customHeight="1"/>
    <row r="403" ht="3" customHeight="1"/>
    <row r="404" ht="3" customHeight="1"/>
    <row r="405" ht="3" customHeight="1"/>
    <row r="406" ht="3" customHeight="1"/>
    <row r="407" ht="3" customHeight="1"/>
    <row r="408" ht="3" customHeight="1"/>
    <row r="409" ht="3" customHeight="1"/>
    <row r="410" ht="3" customHeight="1"/>
    <row r="411" ht="3" customHeight="1"/>
    <row r="412" ht="3" customHeight="1"/>
    <row r="413" ht="3" customHeight="1"/>
    <row r="414" ht="3" customHeight="1"/>
    <row r="415" ht="3" customHeight="1"/>
    <row r="416" ht="3" customHeight="1"/>
    <row r="417" ht="3" customHeight="1"/>
    <row r="418" ht="3" customHeight="1"/>
    <row r="419" ht="3" customHeight="1"/>
    <row r="420" ht="3" customHeight="1"/>
    <row r="421" ht="3" customHeight="1"/>
    <row r="422" ht="3" customHeight="1"/>
    <row r="423" ht="3" customHeight="1"/>
    <row r="424" ht="3" customHeight="1"/>
    <row r="425" ht="3" customHeight="1"/>
    <row r="426" ht="3" customHeight="1"/>
    <row r="427" ht="3" customHeight="1"/>
    <row r="428" ht="3" customHeight="1"/>
    <row r="429" ht="3" customHeight="1"/>
    <row r="430" ht="3" customHeight="1"/>
    <row r="431" ht="3" customHeight="1"/>
    <row r="432" ht="3" customHeight="1"/>
    <row r="433" ht="3" customHeight="1"/>
    <row r="434" ht="3" customHeight="1"/>
    <row r="435" ht="3" customHeight="1"/>
    <row r="436" ht="3" customHeight="1"/>
    <row r="437" ht="3" customHeight="1"/>
    <row r="438" ht="3" customHeight="1"/>
    <row r="439" ht="3" customHeight="1"/>
    <row r="440" ht="3" customHeight="1"/>
    <row r="441" ht="3" customHeight="1"/>
    <row r="442" ht="3" customHeight="1"/>
    <row r="443" ht="3" customHeight="1"/>
    <row r="444" ht="3" customHeight="1"/>
    <row r="445" ht="3" customHeight="1"/>
    <row r="446" ht="3" customHeight="1"/>
    <row r="447" ht="3" customHeight="1"/>
    <row r="448" ht="3" customHeight="1"/>
    <row r="449" ht="3" customHeight="1"/>
    <row r="450" ht="3" customHeight="1"/>
    <row r="451" ht="3" customHeight="1"/>
    <row r="452" ht="3" customHeight="1"/>
    <row r="453" ht="3" customHeight="1"/>
    <row r="454" ht="3" customHeight="1"/>
    <row r="455" ht="3" customHeight="1"/>
    <row r="456" ht="3" customHeight="1"/>
    <row r="457" ht="3" customHeight="1"/>
    <row r="458" ht="3" customHeight="1"/>
    <row r="459" ht="3" customHeight="1"/>
    <row r="460" ht="3" customHeight="1"/>
    <row r="461" ht="3" customHeight="1"/>
    <row r="462" ht="3" customHeight="1"/>
    <row r="463" ht="3" customHeight="1"/>
    <row r="464" ht="3" customHeight="1"/>
    <row r="465" ht="3" customHeight="1"/>
    <row r="466" ht="3" customHeight="1"/>
    <row r="467" ht="3" customHeight="1"/>
    <row r="468" ht="3" customHeight="1"/>
    <row r="469" ht="3" customHeight="1"/>
    <row r="470" ht="3" customHeight="1"/>
    <row r="471" ht="3" customHeight="1"/>
    <row r="472" ht="3" customHeight="1"/>
    <row r="473" ht="3" customHeight="1"/>
    <row r="474" ht="3" customHeight="1"/>
    <row r="475" ht="3" customHeight="1"/>
    <row r="476" ht="3" customHeight="1"/>
    <row r="477" ht="3" customHeight="1"/>
    <row r="478" ht="3" customHeight="1"/>
    <row r="479" ht="3" customHeight="1"/>
    <row r="480" ht="3" customHeight="1"/>
    <row r="481" ht="3" customHeight="1"/>
    <row r="482" ht="3" customHeight="1"/>
    <row r="483" ht="3" customHeight="1"/>
    <row r="484" ht="3" customHeight="1"/>
    <row r="485" ht="3" customHeight="1"/>
    <row r="486" ht="3" customHeight="1"/>
    <row r="487" ht="3" customHeight="1"/>
    <row r="488" ht="3" customHeight="1"/>
    <row r="489" ht="3" customHeight="1"/>
    <row r="490" ht="3" customHeight="1"/>
    <row r="491" ht="3" customHeight="1"/>
    <row r="492" ht="3" customHeight="1"/>
    <row r="493" ht="3" customHeight="1"/>
    <row r="494" ht="3" customHeight="1"/>
    <row r="495" ht="3" customHeight="1"/>
    <row r="496" ht="3" customHeight="1"/>
    <row r="497" ht="3" customHeight="1"/>
    <row r="498" ht="3" customHeight="1"/>
    <row r="499" ht="3" customHeight="1"/>
    <row r="500" ht="3" customHeight="1"/>
    <row r="501" ht="3" customHeight="1"/>
    <row r="502" ht="3" customHeight="1"/>
    <row r="503" ht="3" customHeight="1"/>
    <row r="504" ht="3" customHeight="1"/>
    <row r="505" ht="3" customHeight="1"/>
    <row r="506" ht="3" customHeight="1"/>
    <row r="507" ht="3" customHeight="1"/>
    <row r="508" ht="3" customHeight="1"/>
    <row r="509" ht="3" customHeight="1"/>
    <row r="510" ht="3" customHeight="1"/>
    <row r="511" ht="3" customHeight="1"/>
    <row r="512" ht="3" customHeight="1"/>
    <row r="513" ht="3" customHeight="1"/>
    <row r="514" ht="3" customHeight="1"/>
    <row r="515" ht="3" customHeight="1"/>
    <row r="516" ht="3" customHeight="1"/>
    <row r="517" ht="3" customHeight="1"/>
    <row r="518" ht="3" customHeight="1"/>
    <row r="519" ht="3" customHeight="1"/>
    <row r="520" ht="3" customHeight="1"/>
    <row r="521" ht="3" customHeight="1"/>
    <row r="522" ht="3" customHeight="1"/>
    <row r="523" ht="3" customHeight="1"/>
    <row r="524" ht="3" customHeight="1"/>
    <row r="525" ht="3" customHeight="1"/>
    <row r="526" ht="3" customHeight="1"/>
    <row r="527" ht="3" customHeight="1"/>
    <row r="528" ht="3" customHeight="1"/>
    <row r="529" ht="3" customHeight="1"/>
    <row r="530" ht="3" customHeight="1"/>
    <row r="531" ht="3" customHeight="1"/>
    <row r="532" ht="3" customHeight="1"/>
    <row r="533" ht="3" customHeight="1"/>
    <row r="534" ht="3" customHeight="1"/>
    <row r="535" ht="3" customHeight="1"/>
    <row r="536" ht="3" customHeight="1"/>
    <row r="537" ht="3" customHeight="1"/>
    <row r="538" ht="3" customHeight="1"/>
    <row r="539" ht="3" customHeight="1"/>
    <row r="540" ht="3" customHeight="1"/>
    <row r="541" ht="3" customHeight="1"/>
    <row r="542" ht="3" customHeight="1"/>
    <row r="543" ht="3" customHeight="1"/>
    <row r="544" ht="3" customHeight="1"/>
    <row r="545" ht="3" customHeight="1"/>
    <row r="546" ht="3" customHeight="1"/>
    <row r="547" ht="3" customHeight="1"/>
    <row r="548" ht="3" customHeight="1"/>
    <row r="549" ht="3" customHeight="1"/>
    <row r="550" ht="3" customHeight="1"/>
    <row r="551" ht="3" customHeight="1"/>
    <row r="552" ht="3" customHeight="1"/>
    <row r="553" ht="3" customHeight="1"/>
    <row r="554" ht="3" customHeight="1"/>
    <row r="555" ht="3" customHeight="1"/>
    <row r="556" ht="3" customHeight="1"/>
    <row r="557" ht="3" customHeight="1"/>
    <row r="558" ht="3" customHeight="1"/>
    <row r="559" ht="3" customHeight="1"/>
    <row r="560" ht="3" customHeight="1"/>
    <row r="561" ht="3" customHeight="1"/>
    <row r="562" ht="3" customHeight="1"/>
    <row r="563" ht="3" customHeight="1"/>
    <row r="564" ht="3" customHeight="1"/>
    <row r="565" ht="3" customHeight="1"/>
    <row r="566" ht="3" customHeight="1"/>
    <row r="567" ht="3" customHeight="1"/>
    <row r="568" ht="3" customHeight="1"/>
    <row r="569" ht="3" customHeight="1"/>
    <row r="570" ht="3" customHeight="1"/>
    <row r="571" ht="3" customHeight="1"/>
    <row r="572" ht="3" customHeight="1"/>
    <row r="573" ht="3" customHeight="1"/>
    <row r="574" ht="3" customHeight="1"/>
    <row r="575" ht="3" customHeight="1"/>
    <row r="576" ht="3" customHeight="1"/>
    <row r="577" ht="3" customHeight="1"/>
    <row r="578" ht="3" customHeight="1"/>
    <row r="579" ht="3" customHeight="1"/>
    <row r="580" ht="3" customHeight="1"/>
    <row r="581" ht="3" customHeight="1"/>
    <row r="582" ht="3" customHeight="1"/>
    <row r="583" ht="3" customHeight="1"/>
    <row r="584" ht="3" customHeight="1"/>
    <row r="585" ht="3" customHeight="1"/>
    <row r="586" ht="3" customHeight="1"/>
    <row r="587" ht="3" customHeight="1"/>
    <row r="588" ht="3" customHeight="1"/>
    <row r="589" ht="3" customHeight="1"/>
    <row r="590" ht="3" customHeight="1"/>
    <row r="591" ht="3" customHeight="1"/>
    <row r="592" ht="3" customHeight="1"/>
    <row r="593" ht="3" customHeight="1"/>
    <row r="594" ht="3" customHeight="1"/>
    <row r="595" ht="3" customHeight="1"/>
    <row r="596" ht="3" customHeight="1"/>
    <row r="597" ht="3" customHeight="1"/>
    <row r="598" ht="3" customHeight="1"/>
    <row r="599" ht="3" customHeight="1"/>
    <row r="600" ht="3" customHeight="1"/>
    <row r="601" ht="3" customHeight="1"/>
    <row r="602" ht="3" customHeight="1"/>
    <row r="603" ht="3" customHeight="1"/>
    <row r="604" ht="3" customHeight="1"/>
    <row r="605" ht="3" customHeight="1"/>
    <row r="606" ht="3" customHeight="1"/>
    <row r="607" ht="3" customHeight="1"/>
    <row r="608" ht="3" customHeight="1"/>
    <row r="609" ht="3" customHeight="1"/>
    <row r="610" ht="3" customHeight="1"/>
    <row r="611" ht="3" customHeight="1"/>
    <row r="612" ht="3" customHeight="1"/>
    <row r="613" ht="3" customHeight="1"/>
    <row r="614" ht="3" customHeight="1"/>
    <row r="615" ht="3" customHeight="1"/>
    <row r="616" ht="3" customHeight="1"/>
    <row r="617" ht="3" customHeight="1"/>
    <row r="618" ht="3" customHeight="1"/>
    <row r="619" ht="3" customHeight="1"/>
    <row r="620" ht="3" customHeight="1"/>
    <row r="621" ht="3" customHeight="1"/>
    <row r="622" ht="3" customHeight="1"/>
    <row r="623" ht="3" customHeight="1"/>
    <row r="624" ht="3" customHeight="1"/>
    <row r="625" ht="3" customHeight="1"/>
    <row r="626" ht="3" customHeight="1"/>
    <row r="627" ht="3" customHeight="1"/>
    <row r="628" ht="3" customHeight="1"/>
    <row r="629" ht="3" customHeight="1"/>
    <row r="630" ht="3" customHeight="1"/>
    <row r="631" ht="3" customHeight="1"/>
    <row r="632" ht="3" customHeight="1"/>
    <row r="633" ht="3" customHeight="1"/>
    <row r="634" ht="3" customHeight="1"/>
    <row r="635" ht="3" customHeight="1"/>
    <row r="636" ht="3" customHeight="1"/>
    <row r="637" ht="3" customHeight="1"/>
    <row r="638" ht="3" customHeight="1"/>
    <row r="639" ht="3" customHeight="1"/>
    <row r="640" ht="3" customHeight="1"/>
    <row r="641" ht="3" customHeight="1"/>
    <row r="642" ht="3" customHeight="1"/>
    <row r="643" ht="3" customHeight="1"/>
    <row r="644" ht="3" customHeight="1"/>
    <row r="645" ht="3" customHeight="1"/>
    <row r="646" ht="3" customHeight="1"/>
    <row r="647" ht="3" customHeight="1"/>
    <row r="648" ht="3" customHeight="1"/>
    <row r="649" ht="3" customHeight="1"/>
    <row r="650" ht="3" customHeight="1"/>
    <row r="651" ht="3" customHeight="1"/>
    <row r="652" ht="3" customHeight="1"/>
    <row r="653" ht="3" customHeight="1"/>
    <row r="654" ht="3" customHeight="1"/>
    <row r="655" ht="3" customHeight="1"/>
    <row r="656" ht="3" customHeight="1"/>
    <row r="657" ht="3" customHeight="1"/>
    <row r="658" ht="3" customHeight="1"/>
    <row r="659" ht="3" customHeight="1"/>
    <row r="660" ht="3" customHeight="1"/>
    <row r="661" ht="3" customHeight="1"/>
    <row r="662" ht="3" customHeight="1"/>
    <row r="663" ht="3" customHeight="1"/>
    <row r="664" ht="3" customHeight="1"/>
    <row r="665" ht="3" customHeight="1"/>
    <row r="666" ht="3" customHeight="1"/>
    <row r="667" ht="3" customHeight="1"/>
    <row r="668" ht="3" customHeight="1"/>
    <row r="669" ht="3" customHeight="1"/>
    <row r="670" ht="3" customHeight="1"/>
    <row r="671" ht="3" customHeight="1"/>
    <row r="672" ht="3" customHeight="1"/>
    <row r="673" ht="3" customHeight="1"/>
    <row r="674" ht="3" customHeight="1"/>
    <row r="675" ht="3" customHeight="1"/>
    <row r="676" ht="3" customHeight="1"/>
    <row r="677" ht="3" customHeight="1"/>
    <row r="678" ht="3" customHeight="1"/>
    <row r="679" ht="3" customHeight="1"/>
    <row r="680" ht="3" customHeight="1"/>
    <row r="681" ht="3" customHeight="1"/>
    <row r="682" ht="3" customHeight="1"/>
    <row r="683" ht="3" customHeight="1"/>
    <row r="684" ht="3" customHeight="1"/>
    <row r="685" ht="3" customHeight="1"/>
    <row r="686" ht="3" customHeight="1"/>
    <row r="687" ht="3" customHeight="1"/>
    <row r="688" ht="3" customHeight="1"/>
    <row r="689" ht="3" customHeight="1"/>
    <row r="690" ht="3" customHeight="1"/>
    <row r="691" ht="3" customHeight="1"/>
    <row r="692" ht="3" customHeight="1"/>
    <row r="693" ht="3" customHeight="1"/>
    <row r="694" ht="3" customHeight="1"/>
    <row r="695" ht="3" customHeight="1"/>
    <row r="696" ht="3" customHeight="1"/>
    <row r="697" ht="3" customHeight="1"/>
    <row r="698" ht="3" customHeight="1"/>
    <row r="699" ht="3" customHeight="1"/>
    <row r="700" ht="3" customHeight="1"/>
    <row r="701" ht="3" customHeight="1"/>
    <row r="702" ht="3" customHeight="1"/>
    <row r="703" ht="3" customHeight="1"/>
    <row r="704" ht="3" customHeight="1"/>
    <row r="705" ht="3" customHeight="1"/>
    <row r="706" ht="3" customHeight="1"/>
    <row r="707" ht="3" customHeight="1"/>
    <row r="708" ht="3" customHeight="1"/>
    <row r="709" ht="3" customHeight="1"/>
    <row r="710" ht="3" customHeight="1"/>
    <row r="711" ht="3" customHeight="1"/>
    <row r="712" ht="3" customHeight="1"/>
    <row r="713" ht="3" customHeight="1"/>
    <row r="714" ht="3" customHeight="1"/>
    <row r="715" ht="3" customHeight="1"/>
    <row r="716" ht="3" customHeight="1"/>
    <row r="717" ht="3" customHeight="1"/>
    <row r="718" ht="3" customHeight="1"/>
    <row r="719" ht="3" customHeight="1"/>
    <row r="720" ht="3" customHeight="1"/>
    <row r="721" ht="3" customHeight="1"/>
    <row r="722" ht="3" customHeight="1"/>
    <row r="723" ht="3" customHeight="1"/>
    <row r="724" ht="3" customHeight="1"/>
    <row r="725" ht="3" customHeight="1"/>
    <row r="726" ht="3" customHeight="1"/>
    <row r="727" ht="3" customHeight="1"/>
    <row r="728" ht="3" customHeight="1"/>
    <row r="729" ht="3" customHeight="1"/>
    <row r="730" ht="3" customHeight="1"/>
    <row r="731" ht="3" customHeight="1"/>
    <row r="732" ht="3" customHeight="1"/>
    <row r="733" ht="3" customHeight="1"/>
    <row r="734" ht="3" customHeight="1"/>
    <row r="735" ht="3" customHeight="1"/>
    <row r="736" ht="3" customHeight="1"/>
    <row r="737" ht="3" customHeight="1"/>
    <row r="738" ht="3" customHeight="1"/>
    <row r="739" ht="3" customHeight="1"/>
    <row r="740" ht="3" customHeight="1"/>
    <row r="741" ht="3" customHeight="1"/>
    <row r="742" ht="3" customHeight="1"/>
    <row r="743" ht="3" customHeight="1"/>
    <row r="744" ht="3" customHeight="1"/>
    <row r="745" ht="3" customHeight="1"/>
    <row r="746" ht="3" customHeight="1"/>
    <row r="747" ht="3" customHeight="1"/>
    <row r="748" ht="3" customHeight="1"/>
    <row r="749" ht="3" customHeight="1"/>
    <row r="750" ht="3" customHeight="1"/>
    <row r="751" ht="3" customHeight="1"/>
    <row r="752" ht="3" customHeight="1"/>
    <row r="753" ht="3" customHeight="1"/>
    <row r="754" ht="3" customHeight="1"/>
    <row r="755" ht="3" customHeight="1"/>
    <row r="756" ht="3" customHeight="1"/>
    <row r="757" ht="3" customHeight="1"/>
    <row r="758" ht="3" customHeight="1"/>
    <row r="759" ht="3" customHeight="1"/>
    <row r="760" ht="3" customHeight="1"/>
    <row r="761" ht="3" customHeight="1"/>
    <row r="762" ht="3" customHeight="1"/>
    <row r="763" ht="3" customHeight="1"/>
    <row r="764" ht="3" customHeight="1"/>
    <row r="765" ht="3" customHeight="1"/>
    <row r="766" ht="3" customHeight="1"/>
    <row r="767" ht="3" customHeight="1"/>
    <row r="768" ht="3" customHeight="1"/>
    <row r="769" ht="3" customHeight="1"/>
    <row r="770" ht="3" customHeight="1"/>
    <row r="771" ht="3" customHeight="1"/>
    <row r="772" ht="3" customHeight="1"/>
    <row r="773" ht="3" customHeight="1"/>
    <row r="774" ht="3" customHeight="1"/>
    <row r="775" ht="3" customHeight="1"/>
    <row r="776" ht="3" customHeight="1"/>
    <row r="777" ht="3" customHeight="1"/>
    <row r="778" ht="3" customHeight="1"/>
    <row r="779" ht="3" customHeight="1"/>
    <row r="780" ht="3" customHeight="1"/>
    <row r="781" ht="3" customHeight="1"/>
    <row r="782" ht="3" customHeight="1"/>
    <row r="783" ht="3" customHeight="1"/>
    <row r="784" ht="3" customHeight="1"/>
    <row r="785" ht="3" customHeight="1"/>
    <row r="786" ht="3" customHeight="1"/>
    <row r="787" ht="3" customHeight="1"/>
    <row r="788" ht="3" customHeight="1"/>
    <row r="789" ht="3" customHeight="1"/>
    <row r="790" ht="3" customHeight="1"/>
    <row r="791" ht="3" customHeight="1"/>
    <row r="792" ht="3" customHeight="1"/>
    <row r="793" ht="3" customHeight="1"/>
    <row r="794" ht="3" customHeight="1"/>
    <row r="795" ht="3" customHeight="1"/>
    <row r="796" ht="3" customHeight="1"/>
    <row r="797" ht="3" customHeight="1"/>
    <row r="798" ht="3" customHeight="1"/>
    <row r="799" ht="3" customHeight="1"/>
    <row r="800" ht="3" customHeight="1"/>
    <row r="801" ht="3" customHeight="1"/>
    <row r="802" ht="3" customHeight="1"/>
    <row r="803" ht="3" customHeight="1"/>
    <row r="804" ht="3" customHeight="1"/>
    <row r="805" ht="3" customHeight="1"/>
    <row r="806" ht="3" customHeight="1"/>
    <row r="807" ht="3" customHeight="1"/>
    <row r="808" ht="3" customHeight="1"/>
    <row r="809" ht="3" customHeight="1"/>
    <row r="810" ht="3" customHeight="1"/>
    <row r="811" ht="3" customHeight="1"/>
    <row r="812" ht="3" customHeight="1"/>
    <row r="813" ht="3" customHeight="1"/>
    <row r="814" ht="3" customHeight="1"/>
    <row r="815" ht="3" customHeight="1"/>
    <row r="816" ht="3" customHeight="1"/>
    <row r="817" ht="3" customHeight="1"/>
    <row r="818" ht="3" customHeight="1"/>
    <row r="819" ht="3" customHeight="1"/>
    <row r="820" ht="3" customHeight="1"/>
    <row r="821" ht="3" customHeight="1"/>
    <row r="822" ht="3" customHeight="1"/>
    <row r="823" ht="3" customHeight="1"/>
    <row r="824" ht="3" customHeight="1"/>
    <row r="825" ht="3" customHeight="1"/>
    <row r="826" ht="3" customHeight="1"/>
    <row r="827" ht="3" customHeight="1"/>
    <row r="828" ht="3" customHeight="1"/>
    <row r="829" ht="3" customHeight="1"/>
    <row r="830" ht="3" customHeight="1"/>
    <row r="831" ht="3" customHeight="1"/>
    <row r="832" ht="3" customHeight="1"/>
    <row r="833" ht="3" customHeight="1"/>
    <row r="834" ht="3" customHeight="1"/>
    <row r="835" ht="3" customHeight="1"/>
    <row r="836" ht="3" customHeight="1"/>
    <row r="837" ht="3" customHeight="1"/>
    <row r="838" ht="3" customHeight="1"/>
    <row r="839" ht="3" customHeight="1"/>
    <row r="840" ht="3" customHeight="1"/>
    <row r="841" ht="3" customHeight="1"/>
    <row r="842" ht="3" customHeight="1"/>
    <row r="843" ht="3" customHeight="1"/>
    <row r="844" ht="3" customHeight="1"/>
    <row r="845" ht="3" customHeight="1"/>
    <row r="846" ht="3" customHeight="1"/>
    <row r="847" ht="3" customHeight="1"/>
    <row r="848" ht="3" customHeight="1"/>
    <row r="849" ht="3" customHeight="1"/>
    <row r="850" ht="3" customHeight="1"/>
    <row r="851" ht="3" customHeight="1"/>
    <row r="852" ht="3" customHeight="1"/>
    <row r="853" ht="3" customHeight="1"/>
    <row r="854" ht="3" customHeight="1"/>
    <row r="855" ht="3" customHeight="1"/>
    <row r="856" ht="3" customHeight="1"/>
    <row r="857" ht="3" customHeight="1"/>
    <row r="858" ht="3" customHeight="1"/>
    <row r="859" ht="3" customHeight="1"/>
    <row r="860" ht="3" customHeight="1"/>
    <row r="861" ht="3" customHeight="1"/>
    <row r="862" ht="3" customHeight="1"/>
    <row r="863" ht="3" customHeight="1"/>
    <row r="864" ht="3" customHeight="1"/>
    <row r="865" ht="3" customHeight="1"/>
    <row r="866" ht="3" customHeight="1"/>
    <row r="867" ht="3" customHeight="1"/>
    <row r="868" ht="3" customHeight="1"/>
    <row r="869" ht="3" customHeight="1"/>
    <row r="870" ht="3" customHeight="1"/>
    <row r="871" ht="3" customHeight="1"/>
    <row r="872" ht="3" customHeight="1"/>
    <row r="873" ht="3" customHeight="1"/>
    <row r="874" ht="3" customHeight="1"/>
    <row r="875" ht="3" customHeight="1"/>
    <row r="876" ht="3" customHeight="1"/>
    <row r="877" ht="3" customHeight="1"/>
    <row r="878" ht="3" customHeight="1"/>
    <row r="879" ht="3" customHeight="1"/>
    <row r="880" ht="3" customHeight="1"/>
    <row r="881" ht="3" customHeight="1"/>
    <row r="882" ht="3" customHeight="1"/>
    <row r="883" ht="3" customHeight="1"/>
    <row r="884" ht="3" customHeight="1"/>
    <row r="885" ht="3" customHeight="1"/>
    <row r="886" ht="3" customHeight="1"/>
    <row r="887" ht="3" customHeight="1"/>
    <row r="888" ht="3" customHeight="1"/>
    <row r="889" ht="3" customHeight="1"/>
    <row r="890" ht="3" customHeight="1"/>
    <row r="891" ht="3" customHeight="1"/>
    <row r="892" ht="3" customHeight="1"/>
    <row r="893" ht="3" customHeight="1"/>
    <row r="894" ht="3" customHeight="1"/>
    <row r="895" ht="3" customHeight="1"/>
    <row r="896" ht="3" customHeight="1"/>
    <row r="897" ht="3" customHeight="1"/>
    <row r="898" ht="3" customHeight="1"/>
    <row r="899" ht="3" customHeight="1"/>
    <row r="900" ht="3" customHeight="1"/>
    <row r="901" ht="3" customHeight="1"/>
    <row r="902" ht="3" customHeight="1"/>
    <row r="903" ht="3" customHeight="1"/>
    <row r="904" ht="3" customHeight="1"/>
    <row r="905" ht="3" customHeight="1"/>
    <row r="906" ht="3" customHeight="1"/>
    <row r="907" ht="3" customHeight="1"/>
    <row r="908" ht="3" customHeight="1"/>
    <row r="909" ht="3" customHeight="1"/>
    <row r="910" ht="3" customHeight="1"/>
    <row r="911" ht="3" customHeight="1"/>
    <row r="912" ht="3" customHeight="1"/>
    <row r="913" ht="3" customHeight="1"/>
    <row r="914" ht="3" customHeight="1"/>
    <row r="915" ht="3" customHeight="1"/>
    <row r="916" ht="3" customHeight="1"/>
    <row r="917" ht="3" customHeight="1"/>
    <row r="918" ht="3" customHeight="1"/>
    <row r="919" ht="3" customHeight="1"/>
    <row r="920" ht="3" customHeight="1"/>
    <row r="921" ht="3" customHeight="1"/>
    <row r="922" ht="3" customHeight="1"/>
    <row r="923" ht="3" customHeight="1"/>
    <row r="924" ht="3" customHeight="1"/>
    <row r="925" ht="3" customHeight="1"/>
    <row r="926" ht="3" customHeight="1"/>
    <row r="927" ht="3" customHeight="1"/>
    <row r="928" ht="3" customHeight="1"/>
    <row r="929" ht="3" customHeight="1"/>
    <row r="930" ht="3" customHeight="1"/>
    <row r="931" ht="3" customHeight="1"/>
    <row r="932" ht="3" customHeight="1"/>
    <row r="933" ht="3" customHeight="1"/>
    <row r="934" ht="3" customHeight="1"/>
    <row r="935" ht="3" customHeight="1"/>
    <row r="936" ht="3" customHeight="1"/>
    <row r="937" ht="3" customHeight="1"/>
    <row r="938" ht="3" customHeight="1"/>
    <row r="939" ht="3" customHeight="1"/>
    <row r="940" ht="3" customHeight="1"/>
    <row r="941" ht="3" customHeight="1"/>
    <row r="942" ht="3" customHeight="1"/>
    <row r="943" ht="3" customHeight="1"/>
    <row r="944" ht="3" customHeight="1"/>
    <row r="945" ht="3" customHeight="1"/>
    <row r="946" ht="3" customHeight="1"/>
    <row r="947" ht="3" customHeight="1"/>
    <row r="948" ht="3" customHeight="1"/>
    <row r="949" ht="3" customHeight="1"/>
    <row r="950" ht="3" customHeight="1"/>
    <row r="951" ht="3" customHeight="1"/>
    <row r="952" ht="3" customHeight="1"/>
    <row r="953" ht="3" customHeight="1"/>
    <row r="954" ht="3" customHeight="1"/>
    <row r="955" ht="3" customHeight="1"/>
    <row r="956" ht="3" customHeight="1"/>
    <row r="957" ht="3" customHeight="1"/>
    <row r="958" ht="3" customHeight="1"/>
    <row r="959" ht="3" customHeight="1"/>
    <row r="960" ht="3" customHeight="1"/>
    <row r="961" ht="3" customHeight="1"/>
    <row r="962" ht="3" customHeight="1"/>
    <row r="963" ht="3" customHeight="1"/>
    <row r="964" ht="3" customHeight="1"/>
    <row r="965" ht="3" customHeight="1"/>
    <row r="966" ht="3" customHeight="1"/>
    <row r="967" ht="3" customHeight="1"/>
    <row r="968" ht="3" customHeight="1"/>
    <row r="969" ht="3" customHeight="1"/>
    <row r="970" ht="3" customHeight="1"/>
    <row r="971" ht="3" customHeight="1"/>
    <row r="972" ht="3" customHeight="1"/>
    <row r="973" ht="3" customHeight="1"/>
    <row r="974" ht="3" customHeight="1"/>
    <row r="975" ht="3" customHeight="1"/>
    <row r="976" ht="3" customHeight="1"/>
    <row r="977" ht="3" customHeight="1"/>
    <row r="978" ht="3" customHeight="1"/>
    <row r="979" ht="3" customHeight="1"/>
    <row r="980" ht="3" customHeight="1"/>
    <row r="981" ht="3" customHeight="1"/>
    <row r="982" ht="3" customHeight="1"/>
    <row r="983" ht="3" customHeight="1"/>
    <row r="984" ht="3" customHeight="1"/>
    <row r="985" ht="3" customHeight="1"/>
    <row r="986" ht="3" customHeight="1"/>
    <row r="987" ht="3" customHeight="1"/>
    <row r="988" ht="3" customHeight="1"/>
    <row r="989" ht="3" customHeight="1"/>
    <row r="990" ht="3" customHeight="1"/>
    <row r="991" ht="3" customHeight="1"/>
    <row r="992" ht="3" customHeight="1"/>
    <row r="993" ht="3" customHeight="1"/>
    <row r="994" ht="3" customHeight="1"/>
    <row r="995" ht="3" customHeight="1"/>
    <row r="996" ht="3" customHeight="1"/>
    <row r="997" ht="3" customHeight="1"/>
    <row r="998" ht="3" customHeight="1"/>
    <row r="999" ht="3" customHeight="1"/>
    <row r="1000" ht="3" customHeight="1"/>
    <row r="1001" ht="3" customHeight="1"/>
    <row r="1002" ht="3" customHeight="1"/>
    <row r="1003" ht="3" customHeight="1"/>
    <row r="1004" ht="3" customHeight="1"/>
    <row r="1005" ht="3" customHeight="1"/>
    <row r="1006" ht="3" customHeight="1"/>
    <row r="1007" ht="3" customHeight="1"/>
    <row r="1008" ht="3" customHeight="1"/>
    <row r="1009" ht="3" customHeight="1"/>
    <row r="1010" ht="3" customHeight="1"/>
    <row r="1011" ht="3" customHeight="1"/>
    <row r="1012" ht="3" customHeight="1"/>
    <row r="1013" ht="3" customHeight="1"/>
    <row r="1014" ht="3" customHeight="1"/>
    <row r="1015" ht="3" customHeight="1"/>
    <row r="1016" ht="3" customHeight="1"/>
    <row r="1017" ht="3" customHeight="1"/>
    <row r="1018" ht="3" customHeight="1"/>
    <row r="1019" ht="3" customHeight="1"/>
    <row r="1020" ht="3" customHeight="1"/>
    <row r="1021" ht="3" customHeight="1"/>
    <row r="1022" ht="3" customHeight="1"/>
    <row r="1023" ht="3" customHeight="1"/>
    <row r="1024" ht="3" customHeight="1"/>
    <row r="1025" ht="3" customHeight="1"/>
    <row r="1026" ht="3" customHeight="1"/>
    <row r="1027" ht="3" customHeight="1"/>
    <row r="1028" ht="3" customHeight="1"/>
    <row r="1029" ht="3" customHeight="1"/>
    <row r="1030" ht="3" customHeight="1"/>
    <row r="1031" ht="3" customHeight="1"/>
    <row r="1032" ht="3" customHeight="1"/>
    <row r="1033" ht="3" customHeight="1"/>
    <row r="1034" ht="3" customHeight="1"/>
    <row r="1035" ht="3" customHeight="1"/>
    <row r="1036" ht="3" customHeight="1"/>
    <row r="1037" ht="3" customHeight="1"/>
    <row r="1038" ht="3" customHeight="1"/>
    <row r="1039" ht="3" customHeight="1"/>
    <row r="1040" ht="3" customHeight="1"/>
    <row r="1041" ht="3" customHeight="1"/>
    <row r="1042" ht="3" customHeight="1"/>
    <row r="1043" ht="3" customHeight="1"/>
    <row r="1044" ht="3" customHeight="1"/>
    <row r="1045" ht="3" customHeight="1"/>
    <row r="1046" ht="3" customHeight="1"/>
    <row r="1047" ht="3" customHeight="1"/>
    <row r="1048" ht="3" customHeight="1"/>
    <row r="1049" ht="3" customHeight="1"/>
    <row r="1050" ht="3" customHeight="1"/>
    <row r="1051" ht="3" customHeight="1"/>
    <row r="1052" ht="3" customHeight="1"/>
    <row r="1053" ht="3" customHeight="1"/>
    <row r="1054" ht="3" customHeight="1"/>
    <row r="1055" ht="3" customHeight="1"/>
    <row r="1056" ht="3" customHeight="1"/>
    <row r="1057" ht="3" customHeight="1"/>
    <row r="1058" ht="3" customHeight="1"/>
    <row r="1059" ht="3" customHeight="1"/>
    <row r="1060" ht="3" customHeight="1"/>
    <row r="1061" ht="3" customHeight="1"/>
    <row r="1062" ht="3" customHeight="1"/>
    <row r="1063" ht="3" customHeight="1"/>
    <row r="1064" ht="3" customHeight="1"/>
    <row r="1065" ht="3" customHeight="1"/>
    <row r="1066" ht="3" customHeight="1"/>
    <row r="1067" ht="3" customHeight="1"/>
    <row r="1068" ht="3" customHeight="1"/>
    <row r="1069" ht="3" customHeight="1"/>
    <row r="1070" ht="3" customHeight="1"/>
    <row r="1071" ht="3" customHeight="1"/>
    <row r="1072" ht="3" customHeight="1"/>
    <row r="1073" ht="3" customHeight="1"/>
    <row r="1074" ht="3" customHeight="1"/>
    <row r="1075" ht="3" customHeight="1"/>
    <row r="1076" ht="3" customHeight="1"/>
    <row r="1077" ht="3" customHeight="1"/>
    <row r="1078" ht="3" customHeight="1"/>
    <row r="1079" ht="3" customHeight="1"/>
    <row r="1080" ht="3" customHeight="1"/>
    <row r="1081" ht="3" customHeight="1"/>
    <row r="1082" ht="3" customHeight="1"/>
    <row r="1083" ht="3" customHeight="1"/>
    <row r="1084" ht="3" customHeight="1"/>
    <row r="1085" ht="3" customHeight="1"/>
    <row r="1086" ht="3" customHeight="1"/>
    <row r="1087" ht="3" customHeight="1"/>
    <row r="1088" ht="3" customHeight="1"/>
    <row r="1089" ht="3" customHeight="1"/>
    <row r="1090" ht="3" customHeight="1"/>
    <row r="1091" ht="3" customHeight="1"/>
    <row r="1092" ht="3" customHeight="1"/>
    <row r="1093" ht="3" customHeight="1"/>
    <row r="1094" ht="3" customHeight="1"/>
    <row r="1095" ht="3" customHeight="1"/>
    <row r="1096" ht="3" customHeight="1"/>
    <row r="1097" ht="3" customHeight="1"/>
    <row r="1098" ht="3" customHeight="1"/>
    <row r="1099" ht="3" customHeight="1"/>
    <row r="1100" ht="3" customHeight="1"/>
    <row r="1101" ht="3" customHeight="1"/>
    <row r="1102" ht="3" customHeight="1"/>
    <row r="1103" ht="3" customHeight="1"/>
    <row r="1104" ht="3" customHeight="1"/>
    <row r="1105" ht="3" customHeight="1"/>
    <row r="1106" ht="3" customHeight="1"/>
    <row r="1107" ht="3" customHeight="1"/>
    <row r="1108" ht="3" customHeight="1"/>
    <row r="1109" ht="3" customHeight="1"/>
    <row r="1110" ht="3" customHeight="1"/>
    <row r="1111" ht="3" customHeight="1"/>
    <row r="1112" ht="3" customHeight="1"/>
    <row r="1113" ht="3" customHeight="1"/>
    <row r="1114" ht="3" customHeight="1"/>
    <row r="1115" ht="3" customHeight="1"/>
    <row r="1116" ht="3" customHeight="1"/>
    <row r="1117" ht="3" customHeight="1"/>
    <row r="1118" ht="3" customHeight="1"/>
    <row r="1119" ht="3" customHeight="1"/>
    <row r="1120" ht="3" customHeight="1"/>
    <row r="1121" ht="3" customHeight="1"/>
    <row r="1122" ht="3" customHeight="1"/>
    <row r="1123" ht="3" customHeight="1"/>
    <row r="1124" ht="3" customHeight="1"/>
    <row r="1125" ht="3" customHeight="1"/>
    <row r="1126" ht="3" customHeight="1"/>
    <row r="1127" ht="3" customHeight="1"/>
    <row r="1128" ht="3" customHeight="1"/>
    <row r="1129" ht="3" customHeight="1"/>
    <row r="1130" ht="3" customHeight="1"/>
    <row r="1131" ht="3" customHeight="1"/>
    <row r="1132" ht="3" customHeight="1"/>
    <row r="1133" ht="3" customHeight="1"/>
    <row r="1134" ht="3" customHeight="1"/>
    <row r="1135" ht="3" customHeight="1"/>
    <row r="1136" ht="3" customHeight="1"/>
    <row r="1137" ht="3" customHeight="1"/>
    <row r="1138" ht="3" customHeight="1"/>
    <row r="1139" ht="3" customHeight="1"/>
    <row r="1140" ht="3" customHeight="1"/>
    <row r="1141" ht="3" customHeight="1"/>
    <row r="1142" ht="3" customHeight="1"/>
    <row r="1143" ht="3" customHeight="1"/>
    <row r="1144" ht="3" customHeight="1"/>
    <row r="1145" ht="3" customHeight="1"/>
    <row r="1146" ht="3" customHeight="1"/>
    <row r="1147" ht="3" customHeight="1"/>
    <row r="1148" ht="3" customHeight="1"/>
    <row r="1149" ht="3" customHeight="1"/>
    <row r="1150" ht="3" customHeight="1"/>
    <row r="1151" ht="3" customHeight="1"/>
    <row r="1152" ht="3" customHeight="1"/>
    <row r="1153" ht="3" customHeight="1"/>
    <row r="1154" ht="3" customHeight="1"/>
    <row r="1155" ht="3" customHeight="1"/>
    <row r="1156" ht="3" customHeight="1"/>
    <row r="1157" ht="3" customHeight="1"/>
    <row r="1158" ht="3" customHeight="1"/>
    <row r="1159" ht="3" customHeight="1"/>
    <row r="1160" ht="3" customHeight="1"/>
    <row r="1161" ht="3" customHeight="1"/>
    <row r="1162" ht="3" customHeight="1"/>
    <row r="1163" ht="3" customHeight="1"/>
    <row r="1164" ht="3" customHeight="1"/>
    <row r="1165" ht="3" customHeight="1"/>
    <row r="1166" ht="3" customHeight="1"/>
    <row r="1167" ht="3" customHeight="1"/>
    <row r="1168" ht="3" customHeight="1"/>
    <row r="1169" ht="3" customHeight="1"/>
    <row r="1170" ht="3" customHeight="1"/>
    <row r="1171" ht="3" customHeight="1"/>
    <row r="1172" ht="3" customHeight="1"/>
    <row r="1173" ht="3" customHeight="1"/>
    <row r="1174" ht="3" customHeight="1"/>
    <row r="1175" ht="3" customHeight="1"/>
    <row r="1176" ht="3" customHeight="1"/>
    <row r="1177" ht="3" customHeight="1"/>
    <row r="1178" ht="3" customHeight="1"/>
    <row r="1179" ht="3" customHeight="1"/>
    <row r="1180" ht="3" customHeight="1"/>
    <row r="1181" ht="3" customHeight="1"/>
    <row r="1182" ht="3" customHeight="1"/>
    <row r="1183" ht="3" customHeight="1"/>
    <row r="1184" ht="3" customHeight="1"/>
    <row r="1185" ht="3" customHeight="1"/>
    <row r="1186" ht="3" customHeight="1"/>
    <row r="1187" ht="3" customHeight="1"/>
    <row r="1188" ht="3" customHeight="1"/>
    <row r="1189" ht="3" customHeight="1"/>
    <row r="1190" ht="3" customHeight="1"/>
    <row r="1191" ht="3" customHeight="1"/>
    <row r="1192" ht="3" customHeight="1"/>
    <row r="1193" ht="3" customHeight="1"/>
    <row r="1194" ht="3" customHeight="1"/>
    <row r="1195" ht="3" customHeight="1"/>
    <row r="1196" ht="3" customHeight="1"/>
    <row r="1197" ht="3" customHeight="1"/>
    <row r="1198" ht="3" customHeight="1"/>
    <row r="1199" ht="3" customHeight="1"/>
    <row r="1200" ht="3" customHeight="1"/>
    <row r="1201" ht="3" customHeight="1"/>
    <row r="1202" ht="3" customHeight="1"/>
    <row r="1203" ht="3" customHeight="1"/>
    <row r="1204" ht="3" customHeight="1"/>
    <row r="1205" ht="3" customHeight="1"/>
    <row r="1206" ht="3" customHeight="1"/>
    <row r="1207" ht="3" customHeight="1"/>
    <row r="1208" ht="3" customHeight="1"/>
    <row r="1209" ht="3" customHeight="1"/>
    <row r="1210" ht="3" customHeight="1"/>
    <row r="1211" ht="3" customHeight="1"/>
    <row r="1212" ht="3" customHeight="1"/>
    <row r="1213" ht="3" customHeight="1"/>
    <row r="1214" ht="3" customHeight="1"/>
    <row r="1215" ht="3" customHeight="1"/>
    <row r="1216" ht="3" customHeight="1"/>
    <row r="1217" ht="3" customHeight="1"/>
    <row r="1218" ht="3" customHeight="1"/>
    <row r="1219" ht="3" customHeight="1"/>
    <row r="1220" ht="3" customHeight="1"/>
    <row r="1221" ht="3" customHeight="1"/>
    <row r="1222" ht="3" customHeight="1"/>
    <row r="1223" ht="3" customHeight="1"/>
    <row r="1224" ht="3" customHeight="1"/>
    <row r="1225" ht="3" customHeight="1"/>
    <row r="1226" ht="3" customHeight="1"/>
    <row r="1227" ht="3" customHeight="1"/>
    <row r="1228" ht="3" customHeight="1"/>
    <row r="1229" ht="3" customHeight="1"/>
    <row r="1230" ht="3" customHeight="1"/>
    <row r="1231" ht="3" customHeight="1"/>
    <row r="1232" ht="3" customHeight="1"/>
    <row r="1233" ht="3" customHeight="1"/>
    <row r="1234" ht="3" customHeight="1"/>
    <row r="1235" ht="3" customHeight="1"/>
    <row r="1236" ht="3" customHeight="1"/>
    <row r="1237" ht="3" customHeight="1"/>
    <row r="1238" ht="3" customHeight="1"/>
    <row r="1239" ht="3" customHeight="1"/>
    <row r="1240" ht="3" customHeight="1"/>
    <row r="1241" ht="3" customHeight="1"/>
    <row r="1242" ht="3" customHeight="1"/>
    <row r="1243" ht="3" customHeight="1"/>
    <row r="1244" ht="3" customHeight="1"/>
    <row r="1245" ht="3" customHeight="1"/>
    <row r="1246" ht="3" customHeight="1"/>
    <row r="1247" ht="3" customHeight="1"/>
    <row r="1248" ht="3" customHeight="1"/>
    <row r="1249" ht="3" customHeight="1"/>
    <row r="1250" ht="3" customHeight="1"/>
    <row r="1251" ht="3" customHeight="1"/>
    <row r="1252" ht="3" customHeight="1"/>
    <row r="1253" ht="3" customHeight="1"/>
    <row r="1254" ht="3" customHeight="1"/>
    <row r="1255" ht="3" customHeight="1"/>
    <row r="1256" ht="3" customHeight="1"/>
    <row r="1257" ht="3" customHeight="1"/>
    <row r="1258" ht="3" customHeight="1"/>
    <row r="1259" ht="3" customHeight="1"/>
    <row r="1260" ht="3" customHeight="1"/>
    <row r="1261" ht="3" customHeight="1"/>
    <row r="1262" ht="3" customHeight="1"/>
    <row r="1263" ht="3" customHeight="1"/>
    <row r="1264" ht="3" customHeight="1"/>
    <row r="1265" ht="3" customHeight="1"/>
    <row r="1266" ht="3" customHeight="1"/>
    <row r="1267" ht="3" customHeight="1"/>
    <row r="1268" ht="3" customHeight="1"/>
    <row r="1269" ht="3" customHeight="1"/>
    <row r="1270" ht="3" customHeight="1"/>
    <row r="1271" ht="3" customHeight="1"/>
    <row r="1272" ht="3" customHeight="1"/>
    <row r="1273" ht="3" customHeight="1"/>
    <row r="1274" ht="3" customHeight="1"/>
    <row r="1275" ht="3" customHeight="1"/>
    <row r="1276" ht="3" customHeight="1"/>
    <row r="1277" ht="3" customHeight="1"/>
    <row r="1278" ht="3" customHeight="1"/>
    <row r="1279" ht="3" customHeight="1"/>
    <row r="1280" ht="3" customHeight="1"/>
    <row r="1281" ht="3" customHeight="1"/>
    <row r="1282" ht="3" customHeight="1"/>
    <row r="1283" ht="3" customHeight="1"/>
    <row r="1284" ht="3" customHeight="1"/>
    <row r="1285" ht="3" customHeight="1"/>
    <row r="1286" ht="3" customHeight="1"/>
    <row r="1287" ht="3" customHeight="1"/>
    <row r="1288" ht="3" customHeight="1"/>
    <row r="1289" ht="3" customHeight="1"/>
    <row r="1290" ht="3" customHeight="1"/>
    <row r="1291" ht="3" customHeight="1"/>
    <row r="1292" ht="3" customHeight="1"/>
    <row r="1293" ht="3" customHeight="1"/>
    <row r="1294" ht="3" customHeight="1"/>
    <row r="1295" ht="3" customHeight="1"/>
    <row r="1296" ht="3" customHeight="1"/>
    <row r="1297" ht="3" customHeight="1"/>
    <row r="1298" ht="3" customHeight="1"/>
    <row r="1299" ht="3" customHeight="1"/>
    <row r="1300" ht="3" customHeight="1"/>
    <row r="1301" ht="3" customHeight="1"/>
    <row r="1302" ht="3" customHeight="1"/>
    <row r="1303" ht="3" customHeight="1"/>
    <row r="1304" ht="3" customHeight="1"/>
    <row r="1305" ht="3" customHeight="1"/>
    <row r="1306" ht="3" customHeight="1"/>
    <row r="1307" ht="3" customHeight="1"/>
    <row r="1308" ht="3" customHeight="1"/>
    <row r="1309" ht="3" customHeight="1"/>
    <row r="1310" ht="3" customHeight="1"/>
    <row r="1311" ht="3" customHeight="1"/>
    <row r="1312" ht="3" customHeight="1"/>
    <row r="1313" ht="3" customHeight="1"/>
    <row r="1314" ht="3" customHeight="1"/>
    <row r="1315" ht="3" customHeight="1"/>
    <row r="1316" ht="3" customHeight="1"/>
    <row r="1317" ht="3" customHeight="1"/>
    <row r="1318" ht="3" customHeight="1"/>
    <row r="1319" ht="3" customHeight="1"/>
    <row r="1320" ht="3" customHeight="1"/>
    <row r="1321" ht="3" customHeight="1"/>
    <row r="1322" ht="3" customHeight="1"/>
    <row r="1323" ht="3" customHeight="1"/>
    <row r="1324" ht="3" customHeight="1"/>
    <row r="1325" ht="3" customHeight="1"/>
    <row r="1326" ht="3" customHeight="1"/>
    <row r="1327" ht="3" customHeight="1"/>
    <row r="1328" ht="3" customHeight="1"/>
    <row r="1329" ht="3" customHeight="1"/>
    <row r="1330" ht="3" customHeight="1"/>
    <row r="1331" ht="3" customHeight="1"/>
    <row r="1332" ht="3" customHeight="1"/>
    <row r="1333" ht="3" customHeight="1"/>
    <row r="1334" ht="3" customHeight="1"/>
    <row r="1335" ht="3" customHeight="1"/>
    <row r="1336" ht="3" customHeight="1"/>
    <row r="1337" ht="3" customHeight="1"/>
    <row r="1338" ht="3" customHeight="1"/>
    <row r="1339" ht="3" customHeight="1"/>
    <row r="1340" ht="3" customHeight="1"/>
    <row r="1341" ht="3" customHeight="1"/>
    <row r="1342" ht="3" customHeight="1"/>
    <row r="1343" ht="3" customHeight="1"/>
    <row r="1344" ht="3" customHeight="1"/>
    <row r="1345" ht="3" customHeight="1"/>
    <row r="1346" ht="3" customHeight="1"/>
    <row r="1347" ht="3" customHeight="1"/>
    <row r="1348" ht="3" customHeight="1"/>
    <row r="1349" ht="3" customHeight="1"/>
    <row r="1350" ht="3" customHeight="1"/>
    <row r="1351" ht="3" customHeight="1"/>
    <row r="1352" ht="3" customHeight="1"/>
    <row r="1353" ht="3" customHeight="1"/>
    <row r="1354" ht="3" customHeight="1"/>
    <row r="1355" ht="3" customHeight="1"/>
    <row r="1356" ht="3" customHeight="1"/>
    <row r="1357" ht="3" customHeight="1"/>
    <row r="1358" ht="3" customHeight="1"/>
    <row r="1359" ht="3" customHeight="1"/>
    <row r="1360" ht="3" customHeight="1"/>
    <row r="1361" ht="3" customHeight="1"/>
    <row r="1362" ht="3" customHeight="1"/>
    <row r="1363" ht="3" customHeight="1"/>
    <row r="1364" ht="3" customHeight="1"/>
    <row r="1365" ht="3" customHeight="1"/>
    <row r="1366" ht="3" customHeight="1"/>
    <row r="1367" ht="3" customHeight="1"/>
    <row r="1368" ht="3" customHeight="1"/>
    <row r="1369" ht="3" customHeight="1"/>
    <row r="1370" ht="3" customHeight="1"/>
    <row r="1371" ht="3" customHeight="1"/>
    <row r="1372" ht="3" customHeight="1"/>
    <row r="1373" ht="3" customHeight="1"/>
    <row r="1374" ht="3" customHeight="1"/>
    <row r="1375" ht="3" customHeight="1"/>
    <row r="1376" ht="3" customHeight="1"/>
    <row r="1377" ht="3" customHeight="1"/>
    <row r="1378" ht="3" customHeight="1"/>
    <row r="1379" ht="3" customHeight="1"/>
    <row r="1380" ht="3" customHeight="1"/>
    <row r="1381" ht="3" customHeight="1"/>
    <row r="1382" ht="3" customHeight="1"/>
    <row r="1383" ht="3" customHeight="1"/>
    <row r="1384" ht="3" customHeight="1"/>
    <row r="1385" ht="3" customHeight="1"/>
    <row r="1386" ht="3" customHeight="1"/>
    <row r="1387" ht="3" customHeight="1"/>
    <row r="1388" ht="3" customHeight="1"/>
    <row r="1389" ht="3" customHeight="1"/>
    <row r="1390" ht="3" customHeight="1"/>
    <row r="1391" ht="3" customHeight="1"/>
    <row r="1392" ht="3" customHeight="1"/>
    <row r="1393" ht="3" customHeight="1"/>
    <row r="1394" ht="3" customHeight="1"/>
    <row r="1395" ht="3" customHeight="1"/>
    <row r="1396" ht="3" customHeight="1"/>
    <row r="1397" ht="3" customHeight="1"/>
    <row r="1398" ht="3" customHeight="1"/>
    <row r="1399" ht="3" customHeight="1"/>
    <row r="1400" ht="3" customHeight="1"/>
    <row r="1401" ht="3" customHeight="1"/>
    <row r="1402" ht="3" customHeight="1"/>
    <row r="1403" ht="3" customHeight="1"/>
    <row r="1404" ht="3" customHeight="1"/>
    <row r="1405" ht="3" customHeight="1"/>
    <row r="1406" ht="3" customHeight="1"/>
    <row r="1407" ht="3" customHeight="1"/>
    <row r="1408" ht="3" customHeight="1"/>
    <row r="1409" ht="3" customHeight="1"/>
    <row r="1410" ht="3" customHeight="1"/>
    <row r="1411" ht="3" customHeight="1"/>
    <row r="1412" ht="3" customHeight="1"/>
    <row r="1413" ht="3" customHeight="1"/>
    <row r="1414" ht="3" customHeight="1"/>
    <row r="1415" ht="3" customHeight="1"/>
    <row r="1416" ht="3" customHeight="1"/>
    <row r="1417" ht="3" customHeight="1"/>
    <row r="1418" ht="3" customHeight="1"/>
    <row r="1419" ht="3" customHeight="1"/>
    <row r="1420" ht="3" customHeight="1"/>
    <row r="1421" ht="3" customHeight="1"/>
    <row r="1422" ht="3" customHeight="1"/>
    <row r="1423" ht="3" customHeight="1"/>
    <row r="1424" ht="3" customHeight="1"/>
    <row r="1425" ht="3" customHeight="1"/>
    <row r="1426" ht="3" customHeight="1"/>
    <row r="1427" ht="3" customHeight="1"/>
    <row r="1428" ht="3" customHeight="1"/>
    <row r="1429" ht="3" customHeight="1"/>
    <row r="1430" ht="3" customHeight="1"/>
    <row r="1431" ht="3" customHeight="1"/>
    <row r="1432" ht="3" customHeight="1"/>
    <row r="1433" ht="3" customHeight="1"/>
    <row r="1434" ht="3" customHeight="1"/>
    <row r="1435" ht="3" customHeight="1"/>
    <row r="1436" ht="3" customHeight="1"/>
    <row r="1437" ht="3" customHeight="1"/>
    <row r="1438" ht="3" customHeight="1"/>
    <row r="1439" ht="3" customHeight="1"/>
    <row r="1440" ht="3" customHeight="1"/>
    <row r="1441" ht="3" customHeight="1"/>
    <row r="1442" ht="3" customHeight="1"/>
    <row r="1443" ht="3" customHeight="1"/>
    <row r="1444" ht="3" customHeight="1"/>
    <row r="1445" ht="3" customHeight="1"/>
    <row r="1446" ht="3" customHeight="1"/>
    <row r="1447" ht="3" customHeight="1"/>
    <row r="1448" ht="3" customHeight="1"/>
    <row r="1449" ht="3" customHeight="1"/>
    <row r="1450" ht="3" customHeight="1"/>
    <row r="1451" ht="3" customHeight="1"/>
    <row r="1452" ht="3" customHeight="1"/>
    <row r="1453" ht="3" customHeight="1"/>
    <row r="1454" ht="3" customHeight="1"/>
    <row r="1455" ht="3" customHeight="1"/>
    <row r="1456" ht="3" customHeight="1"/>
    <row r="1457" ht="3" customHeight="1"/>
    <row r="1458" ht="3" customHeight="1"/>
    <row r="1459" ht="3" customHeight="1"/>
    <row r="1460" ht="3" customHeight="1"/>
    <row r="1461" ht="3" customHeight="1"/>
    <row r="1462" ht="3" customHeight="1"/>
    <row r="1463" ht="3" customHeight="1"/>
    <row r="1464" ht="3" customHeight="1"/>
    <row r="1465" ht="3" customHeight="1"/>
    <row r="1466" ht="3" customHeight="1"/>
    <row r="1467" ht="3" customHeight="1"/>
    <row r="1468" ht="3" customHeight="1"/>
    <row r="1469" ht="3" customHeight="1"/>
    <row r="1470" ht="3" customHeight="1"/>
    <row r="1471" ht="3" customHeight="1"/>
    <row r="1472" ht="3" customHeight="1"/>
    <row r="1473" ht="3" customHeight="1"/>
    <row r="1474" ht="3" customHeight="1"/>
    <row r="1475" ht="3" customHeight="1"/>
    <row r="1476" ht="3" customHeight="1"/>
    <row r="1477" ht="3" customHeight="1"/>
    <row r="1478" ht="3" customHeight="1"/>
    <row r="1479" ht="3" customHeight="1"/>
    <row r="1480" ht="3" customHeight="1"/>
    <row r="1481" ht="3" customHeight="1"/>
    <row r="1482" ht="3" customHeight="1"/>
    <row r="1483" ht="3" customHeight="1"/>
    <row r="1484" ht="3" customHeight="1"/>
    <row r="1485" ht="3" customHeight="1"/>
    <row r="1486" ht="3" customHeight="1"/>
    <row r="1487" ht="3" customHeight="1"/>
    <row r="1488" ht="3" customHeight="1"/>
    <row r="1489" ht="3" customHeight="1"/>
    <row r="1490" ht="3" customHeight="1"/>
    <row r="1491" ht="3" customHeight="1"/>
    <row r="1492" ht="3" customHeight="1"/>
    <row r="1493" ht="3" customHeight="1"/>
    <row r="1494" ht="3" customHeight="1"/>
    <row r="1495" ht="3" customHeight="1"/>
    <row r="1496" ht="3" customHeight="1"/>
    <row r="1497" ht="3" customHeight="1"/>
    <row r="1498" ht="3" customHeight="1"/>
    <row r="1499" ht="3" customHeight="1"/>
    <row r="1500" ht="3" customHeight="1"/>
    <row r="1501" ht="3" customHeight="1"/>
    <row r="1502" ht="3" customHeight="1"/>
    <row r="1503" ht="3" customHeight="1"/>
    <row r="1504" ht="3" customHeight="1"/>
    <row r="1505" ht="3" customHeight="1"/>
    <row r="1506" ht="3" customHeight="1"/>
    <row r="1507" ht="3" customHeight="1"/>
    <row r="1508" ht="3" customHeight="1"/>
    <row r="1509" ht="3" customHeight="1"/>
    <row r="1510" ht="3" customHeight="1"/>
    <row r="1511" ht="3" customHeight="1"/>
    <row r="1512" ht="3" customHeight="1"/>
    <row r="1513" ht="3" customHeight="1"/>
    <row r="1514" ht="3" customHeight="1"/>
    <row r="1515" ht="3" customHeight="1"/>
    <row r="1516" ht="3" customHeight="1"/>
    <row r="1517" ht="3" customHeight="1"/>
    <row r="1518" ht="3" customHeight="1"/>
    <row r="1519" ht="3" customHeight="1"/>
    <row r="1520" ht="3" customHeight="1"/>
    <row r="1521" ht="3" customHeight="1"/>
    <row r="1522" ht="3" customHeight="1"/>
    <row r="1523" ht="3" customHeight="1"/>
    <row r="1524" ht="3" customHeight="1"/>
    <row r="1525" ht="3" customHeight="1"/>
    <row r="1526" ht="3" customHeight="1"/>
    <row r="1527" ht="3" customHeight="1"/>
    <row r="1528" ht="3" customHeight="1"/>
    <row r="1529" ht="3" customHeight="1"/>
    <row r="1530" ht="3" customHeight="1"/>
    <row r="1531" ht="3" customHeight="1"/>
    <row r="1532" ht="3" customHeight="1"/>
    <row r="1533" ht="3" customHeight="1"/>
    <row r="1534" ht="3" customHeight="1"/>
    <row r="1535" ht="3" customHeight="1"/>
    <row r="1536" ht="3" customHeight="1"/>
    <row r="1537" ht="3" customHeight="1"/>
    <row r="1538" ht="3" customHeight="1"/>
    <row r="1539" ht="3" customHeight="1"/>
    <row r="1540" ht="3" customHeight="1"/>
    <row r="1541" ht="3" customHeight="1"/>
    <row r="1542" ht="3" customHeight="1"/>
    <row r="1543" ht="3" customHeight="1"/>
    <row r="1544" ht="3" customHeight="1"/>
    <row r="1545" ht="3" customHeight="1"/>
    <row r="1546" ht="3" customHeight="1"/>
    <row r="1547" ht="3" customHeight="1"/>
    <row r="1548" ht="3" customHeight="1"/>
    <row r="1549" ht="3" customHeight="1"/>
    <row r="1550" ht="3" customHeight="1"/>
    <row r="1551" ht="3" customHeight="1"/>
    <row r="1552" ht="3" customHeight="1"/>
    <row r="1553" ht="3" customHeight="1"/>
    <row r="1554" ht="3" customHeight="1"/>
    <row r="1555" ht="3" customHeight="1"/>
    <row r="1556" ht="3" customHeight="1"/>
    <row r="1557" ht="3" customHeight="1"/>
    <row r="1558" ht="3" customHeight="1"/>
    <row r="1559" ht="3" customHeight="1"/>
    <row r="1560" ht="3" customHeight="1"/>
    <row r="1561" ht="3" customHeight="1"/>
    <row r="1562" ht="3" customHeight="1"/>
    <row r="1563" ht="3" customHeight="1"/>
    <row r="1564" ht="3" customHeight="1"/>
    <row r="1565" ht="3" customHeight="1"/>
    <row r="1566" ht="3" customHeight="1"/>
    <row r="1567" ht="3" customHeight="1"/>
    <row r="1568" ht="3" customHeight="1"/>
    <row r="1569" ht="3" customHeight="1"/>
    <row r="1570" ht="3" customHeight="1"/>
    <row r="1571" ht="3" customHeight="1"/>
    <row r="1572" ht="3" customHeight="1"/>
    <row r="1573" ht="3" customHeight="1"/>
    <row r="1574" ht="3" customHeight="1"/>
    <row r="1575" ht="3" customHeight="1"/>
    <row r="1576" ht="3" customHeight="1"/>
    <row r="1577" ht="3" customHeight="1"/>
    <row r="1578" ht="3" customHeight="1"/>
    <row r="1579" ht="3" customHeight="1"/>
    <row r="1580" ht="3" customHeight="1"/>
    <row r="1581" ht="3" customHeight="1"/>
    <row r="1582" ht="3" customHeight="1"/>
    <row r="1583" ht="3" customHeight="1"/>
    <row r="1584" ht="3" customHeight="1"/>
    <row r="1585" ht="3" customHeight="1"/>
    <row r="1586" ht="3" customHeight="1"/>
    <row r="1587" ht="3" customHeight="1"/>
    <row r="1588" ht="3" customHeight="1"/>
    <row r="1589" ht="3" customHeight="1"/>
    <row r="1590" ht="3" customHeight="1"/>
    <row r="1591" ht="3" customHeight="1"/>
    <row r="1592" ht="3" customHeight="1"/>
    <row r="1593" ht="3" customHeight="1"/>
    <row r="1594" ht="3" customHeight="1"/>
    <row r="1595" ht="3" customHeight="1"/>
    <row r="1596" ht="3" customHeight="1"/>
    <row r="1597" ht="3" customHeight="1"/>
    <row r="1598" ht="3" customHeight="1"/>
    <row r="1599" ht="3" customHeight="1"/>
    <row r="1600" ht="3" customHeight="1"/>
    <row r="1601" ht="3" customHeight="1"/>
    <row r="1602" ht="3" customHeight="1"/>
    <row r="1603" ht="3" customHeight="1"/>
    <row r="1604" ht="3" customHeight="1"/>
    <row r="1605" ht="3" customHeight="1"/>
    <row r="1606" ht="3" customHeight="1"/>
    <row r="1607" ht="3" customHeight="1"/>
    <row r="1608" ht="3" customHeight="1"/>
    <row r="1609" ht="3" customHeight="1"/>
    <row r="1610" ht="3" customHeight="1"/>
    <row r="1611" ht="3" customHeight="1"/>
    <row r="1612" ht="3" customHeight="1"/>
    <row r="1613" ht="3" customHeight="1"/>
    <row r="1614" ht="3" customHeight="1"/>
    <row r="1615" ht="3" customHeight="1"/>
    <row r="1616" ht="3" customHeight="1"/>
    <row r="1617" ht="3" customHeight="1"/>
    <row r="1618" ht="3" customHeight="1"/>
    <row r="1619" ht="3" customHeight="1"/>
    <row r="1620" ht="3" customHeight="1"/>
    <row r="1621" ht="3" customHeight="1"/>
    <row r="1622" ht="3" customHeight="1"/>
    <row r="1623" ht="3" customHeight="1"/>
    <row r="1624" ht="3" customHeight="1"/>
    <row r="1625" ht="3" customHeight="1"/>
    <row r="1626" ht="3" customHeight="1"/>
    <row r="1627" ht="3" customHeight="1"/>
    <row r="1628" ht="3" customHeight="1"/>
    <row r="1629" ht="3" customHeight="1"/>
    <row r="1630" ht="3" customHeight="1"/>
    <row r="1631" ht="3" customHeight="1"/>
    <row r="1632" ht="3" customHeight="1"/>
    <row r="1633" ht="3" customHeight="1"/>
    <row r="1634" ht="3" customHeight="1"/>
    <row r="1635" ht="3" customHeight="1"/>
    <row r="1636" ht="3" customHeight="1"/>
    <row r="1637" ht="3" customHeight="1"/>
    <row r="1638" ht="3" customHeight="1"/>
    <row r="1639" ht="3" customHeight="1"/>
    <row r="1640" ht="3" customHeight="1"/>
    <row r="1641" ht="3" customHeight="1"/>
    <row r="1642" ht="3" customHeight="1"/>
    <row r="1643" ht="3" customHeight="1"/>
    <row r="1644" ht="3" customHeight="1"/>
    <row r="1645" ht="3" customHeight="1"/>
    <row r="1646" ht="3" customHeight="1"/>
    <row r="1647" ht="3" customHeight="1"/>
    <row r="1648" ht="3" customHeight="1"/>
    <row r="1649" ht="3" customHeight="1"/>
    <row r="1650" ht="3" customHeight="1"/>
    <row r="1651" ht="3" customHeight="1"/>
    <row r="1652" ht="3" customHeight="1"/>
    <row r="1653" ht="3" customHeight="1"/>
    <row r="1654" ht="3" customHeight="1"/>
    <row r="1655" ht="3" customHeight="1"/>
    <row r="1656" ht="3" customHeight="1"/>
    <row r="1657" ht="3" customHeight="1"/>
    <row r="1658" ht="3" customHeight="1"/>
    <row r="1659" ht="3" customHeight="1"/>
    <row r="1660" ht="3" customHeight="1"/>
    <row r="1661" ht="3" customHeight="1"/>
    <row r="1662" ht="3" customHeight="1"/>
    <row r="1663" ht="3" customHeight="1"/>
    <row r="1664" ht="3" customHeight="1"/>
    <row r="1665" ht="3" customHeight="1"/>
    <row r="1666" ht="3" customHeight="1"/>
    <row r="1667" ht="3" customHeight="1"/>
    <row r="1668" ht="3" customHeight="1"/>
    <row r="1669" ht="3" customHeight="1"/>
    <row r="1670" ht="3" customHeight="1"/>
    <row r="1671" ht="3" customHeight="1"/>
    <row r="1672" ht="3" customHeight="1"/>
    <row r="1673" ht="3" customHeight="1"/>
    <row r="1674" ht="3" customHeight="1"/>
    <row r="1675" ht="3" customHeight="1"/>
    <row r="1676" ht="3" customHeight="1"/>
    <row r="1677" ht="3" customHeight="1"/>
    <row r="1678" ht="3" customHeight="1"/>
    <row r="1679" ht="3" customHeight="1"/>
    <row r="1680" ht="3" customHeight="1"/>
    <row r="1681" ht="3" customHeight="1"/>
    <row r="1682" ht="3" customHeight="1"/>
    <row r="1683" ht="3" customHeight="1"/>
    <row r="1684" ht="3" customHeight="1"/>
    <row r="1685" ht="3" customHeight="1"/>
    <row r="1686" ht="3" customHeight="1"/>
    <row r="1687" ht="3" customHeight="1"/>
    <row r="1688" ht="3" customHeight="1"/>
    <row r="1689" ht="3" customHeight="1"/>
    <row r="1690" ht="3" customHeight="1"/>
    <row r="1691" ht="3" customHeight="1"/>
    <row r="1692" ht="3" customHeight="1"/>
    <row r="1693" ht="3" customHeight="1"/>
    <row r="1694" ht="3" customHeight="1"/>
    <row r="1695" ht="3" customHeight="1"/>
    <row r="1696" ht="3" customHeight="1"/>
    <row r="1697" ht="3" customHeight="1"/>
    <row r="1698" ht="3" customHeight="1"/>
    <row r="1699" ht="3" customHeight="1"/>
    <row r="1700" ht="3" customHeight="1"/>
    <row r="1701" ht="3" customHeight="1"/>
    <row r="1702" ht="3" customHeight="1"/>
    <row r="1703" ht="3" customHeight="1"/>
    <row r="1704" ht="3" customHeight="1"/>
    <row r="1705" ht="3" customHeight="1"/>
    <row r="1706" ht="3" customHeight="1"/>
    <row r="1707" ht="3" customHeight="1"/>
    <row r="1708" ht="3" customHeight="1"/>
    <row r="1709" ht="3" customHeight="1"/>
    <row r="1710" ht="3" customHeight="1"/>
    <row r="1711" ht="3" customHeight="1"/>
    <row r="1712" ht="3" customHeight="1"/>
    <row r="1713" ht="3" customHeight="1"/>
    <row r="1714" ht="3" customHeight="1"/>
    <row r="1715" ht="3" customHeight="1"/>
    <row r="1716" ht="3" customHeight="1"/>
    <row r="1717" ht="3" customHeight="1"/>
    <row r="1718" ht="3" customHeight="1"/>
    <row r="1719" ht="3" customHeight="1"/>
    <row r="1720" ht="3" customHeight="1"/>
    <row r="1721" ht="3" customHeight="1"/>
    <row r="1722" ht="3" customHeight="1"/>
    <row r="1723" ht="3" customHeight="1"/>
    <row r="1724" ht="3" customHeight="1"/>
    <row r="1725" ht="3" customHeight="1"/>
    <row r="1726" ht="3" customHeight="1"/>
    <row r="1727" ht="3" customHeight="1"/>
    <row r="1728" ht="3" customHeight="1"/>
    <row r="1729" ht="3" customHeight="1"/>
    <row r="1730" ht="3" customHeight="1"/>
    <row r="1731" ht="3" customHeight="1"/>
    <row r="1732" ht="3" customHeight="1"/>
    <row r="1733" ht="3" customHeight="1"/>
    <row r="1734" ht="3" customHeight="1"/>
    <row r="1735" ht="3" customHeight="1"/>
    <row r="1736" ht="3" customHeight="1"/>
    <row r="1737" ht="3" customHeight="1"/>
    <row r="1738" ht="3" customHeight="1"/>
    <row r="1739" ht="3" customHeight="1"/>
    <row r="1740" ht="3" customHeight="1"/>
    <row r="1741" ht="3" customHeight="1"/>
    <row r="1742" ht="3" customHeight="1"/>
    <row r="1743" ht="3" customHeight="1"/>
    <row r="1744" ht="3" customHeight="1"/>
    <row r="1745" ht="3" customHeight="1"/>
    <row r="1746" ht="3" customHeight="1"/>
    <row r="1747" ht="3" customHeight="1"/>
    <row r="1748" ht="3" customHeight="1"/>
    <row r="1749" ht="3" customHeight="1"/>
    <row r="1750" ht="3" customHeight="1"/>
    <row r="1751" ht="3" customHeight="1"/>
    <row r="1752" ht="3" customHeight="1"/>
    <row r="1753" ht="3" customHeight="1"/>
    <row r="1754" ht="3" customHeight="1"/>
    <row r="1755" ht="3" customHeight="1"/>
    <row r="1756" ht="3" customHeight="1"/>
    <row r="1757" ht="3" customHeight="1"/>
    <row r="1758" ht="3" customHeight="1"/>
    <row r="1759" ht="3" customHeight="1"/>
    <row r="1760" ht="3" customHeight="1"/>
    <row r="1761" ht="3" customHeight="1"/>
    <row r="1762" ht="3" customHeight="1"/>
    <row r="1763" ht="3" customHeight="1"/>
    <row r="1764" ht="3" customHeight="1"/>
    <row r="1765" ht="3" customHeight="1"/>
    <row r="1766" ht="3" customHeight="1"/>
    <row r="1767" ht="3" customHeight="1"/>
    <row r="1768" ht="3" customHeight="1"/>
    <row r="1769" ht="3" customHeight="1"/>
    <row r="1770" ht="3" customHeight="1"/>
    <row r="1771" ht="3" customHeight="1"/>
    <row r="1772" ht="3" customHeight="1"/>
    <row r="1773" ht="3" customHeight="1"/>
    <row r="1774" ht="3" customHeight="1"/>
    <row r="1775" ht="3" customHeight="1"/>
    <row r="1776" ht="3" customHeight="1"/>
    <row r="1777" ht="3" customHeight="1"/>
    <row r="1778" ht="3" customHeight="1"/>
    <row r="1779" ht="3" customHeight="1"/>
    <row r="1780" ht="3" customHeight="1"/>
    <row r="1781" ht="3" customHeight="1"/>
    <row r="1782" ht="3" customHeight="1"/>
    <row r="1783" ht="3" customHeight="1"/>
    <row r="1784" ht="3" customHeight="1"/>
    <row r="1785" ht="3" customHeight="1"/>
    <row r="1786" ht="3" customHeight="1"/>
    <row r="1787" ht="3" customHeight="1"/>
    <row r="1788" ht="3" customHeight="1"/>
    <row r="1789" ht="3" customHeight="1"/>
    <row r="1790" ht="3" customHeight="1"/>
    <row r="1791" ht="3" customHeight="1"/>
    <row r="1792" ht="3" customHeight="1"/>
    <row r="1793" ht="3" customHeight="1"/>
    <row r="1794" ht="3" customHeight="1"/>
    <row r="1795" ht="3" customHeight="1"/>
    <row r="1796" ht="3" customHeight="1"/>
    <row r="1797" ht="3" customHeight="1"/>
    <row r="1798" ht="3" customHeight="1"/>
    <row r="1799" ht="3" customHeight="1"/>
    <row r="1800" ht="3" customHeight="1"/>
    <row r="1801" ht="3" customHeight="1"/>
    <row r="1802" ht="3" customHeight="1"/>
    <row r="1803" ht="3" customHeight="1"/>
    <row r="1804" ht="3" customHeight="1"/>
    <row r="1805" ht="3" customHeight="1"/>
    <row r="1806" ht="3" customHeight="1"/>
    <row r="1807" ht="3" customHeight="1"/>
    <row r="1808" ht="3" customHeight="1"/>
    <row r="1809" ht="3" customHeight="1"/>
    <row r="1810" ht="3" customHeight="1"/>
    <row r="1811" ht="3" customHeight="1"/>
    <row r="1812" ht="3" customHeight="1"/>
    <row r="1813" ht="3" customHeight="1"/>
    <row r="1814" ht="3" customHeight="1"/>
    <row r="1815" ht="3" customHeight="1"/>
    <row r="1816" ht="3" customHeight="1"/>
    <row r="1817" ht="3" customHeight="1"/>
    <row r="1818" ht="3" customHeight="1"/>
    <row r="1819" ht="3" customHeight="1"/>
    <row r="1820" ht="3" customHeight="1"/>
    <row r="1821" ht="3" customHeight="1"/>
    <row r="1822" ht="3" customHeight="1"/>
    <row r="1823" ht="3" customHeight="1"/>
    <row r="1824" ht="3" customHeight="1"/>
    <row r="1825" ht="3" customHeight="1"/>
    <row r="1826" ht="3" customHeight="1"/>
    <row r="1827" ht="3" customHeight="1"/>
    <row r="1828" ht="3" customHeight="1"/>
    <row r="1829" ht="3" customHeight="1"/>
    <row r="1830" ht="3" customHeight="1"/>
    <row r="1831" ht="3" customHeight="1"/>
    <row r="1832" ht="3" customHeight="1"/>
    <row r="1833" ht="3" customHeight="1"/>
    <row r="1834" ht="3" customHeight="1"/>
    <row r="1835" ht="3" customHeight="1"/>
    <row r="1836" ht="3" customHeight="1"/>
    <row r="1837" ht="3" customHeight="1"/>
    <row r="1838" ht="3" customHeight="1"/>
    <row r="1839" ht="3" customHeight="1"/>
    <row r="1840" ht="3" customHeight="1"/>
    <row r="1841" ht="3" customHeight="1"/>
    <row r="1842" ht="3" customHeight="1"/>
    <row r="1843" ht="3" customHeight="1"/>
    <row r="1844" ht="3" customHeight="1"/>
    <row r="1845" ht="3" customHeight="1"/>
    <row r="1846" ht="3" customHeight="1"/>
    <row r="1847" ht="3" customHeight="1"/>
    <row r="1848" ht="3" customHeight="1"/>
    <row r="1849" ht="3" customHeight="1"/>
    <row r="1850" ht="3" customHeight="1"/>
    <row r="1851" ht="3" customHeight="1"/>
    <row r="1852" ht="3" customHeight="1"/>
    <row r="1853" ht="3" customHeight="1"/>
    <row r="1854" ht="3" customHeight="1"/>
    <row r="1855" ht="3" customHeight="1"/>
    <row r="1856" ht="3" customHeight="1"/>
    <row r="1857" ht="3" customHeight="1"/>
    <row r="1858" ht="3" customHeight="1"/>
    <row r="1859" ht="3" customHeight="1"/>
    <row r="1860" ht="3" customHeight="1"/>
    <row r="1861" ht="3" customHeight="1"/>
    <row r="1862" ht="3" customHeight="1"/>
    <row r="1863" ht="3" customHeight="1"/>
    <row r="1864" ht="3" customHeight="1"/>
    <row r="1865" ht="3" customHeight="1"/>
    <row r="1866" ht="3" customHeight="1"/>
    <row r="1867" ht="3" customHeight="1"/>
    <row r="1868" ht="3" customHeight="1"/>
    <row r="1869" ht="3" customHeight="1"/>
    <row r="1870" ht="3" customHeight="1"/>
    <row r="1871" ht="3" customHeight="1"/>
    <row r="1872" ht="3" customHeight="1"/>
    <row r="1873" ht="3" customHeight="1"/>
    <row r="1874" ht="3" customHeight="1"/>
    <row r="1875" ht="3" customHeight="1"/>
    <row r="1876" ht="3" customHeight="1"/>
    <row r="1877" ht="3" customHeight="1"/>
    <row r="1878" ht="3" customHeight="1"/>
    <row r="1879" ht="3" customHeight="1"/>
    <row r="1880" ht="3" customHeight="1"/>
    <row r="1881" ht="3" customHeight="1"/>
    <row r="1882" ht="3" customHeight="1"/>
    <row r="1883" ht="3" customHeight="1"/>
    <row r="1884" ht="3" customHeight="1"/>
    <row r="1885" ht="3" customHeight="1"/>
    <row r="1886" ht="3" customHeight="1"/>
    <row r="1887" ht="3" customHeight="1"/>
    <row r="1888" ht="3" customHeight="1"/>
    <row r="1889" ht="3" customHeight="1"/>
    <row r="1890" ht="3" customHeight="1"/>
    <row r="1891" ht="3" customHeight="1"/>
    <row r="1892" ht="3" customHeight="1"/>
    <row r="1893" ht="3" customHeight="1"/>
    <row r="1894" ht="3" customHeight="1"/>
    <row r="1895" ht="3" customHeight="1"/>
    <row r="1896" ht="3" customHeight="1"/>
    <row r="1897" ht="3" customHeight="1"/>
    <row r="1898" ht="3" customHeight="1"/>
    <row r="1899" ht="3" customHeight="1"/>
    <row r="1900" ht="3" customHeight="1"/>
    <row r="1901" ht="3" customHeight="1"/>
    <row r="1902" ht="3" customHeight="1"/>
    <row r="1903" ht="3" customHeight="1"/>
    <row r="1904" ht="3" customHeight="1"/>
    <row r="1905" ht="3" customHeight="1"/>
    <row r="1906" ht="3" customHeight="1"/>
    <row r="1907" ht="3" customHeight="1"/>
    <row r="1908" ht="3" customHeight="1"/>
    <row r="1909" ht="3" customHeight="1"/>
    <row r="1910" ht="3" customHeight="1"/>
    <row r="1911" ht="3" customHeight="1"/>
    <row r="1912" ht="3" customHeight="1"/>
    <row r="1913" ht="3" customHeight="1"/>
    <row r="1914" ht="3" customHeight="1"/>
    <row r="1915" ht="3" customHeight="1"/>
    <row r="1916" ht="3" customHeight="1"/>
    <row r="1917" ht="3" customHeight="1"/>
    <row r="1918" ht="3" customHeight="1"/>
    <row r="1919" ht="3" customHeight="1"/>
    <row r="1920" ht="3" customHeight="1"/>
    <row r="1921" ht="3" customHeight="1"/>
    <row r="1922" ht="3" customHeight="1"/>
    <row r="1923" ht="3" customHeight="1"/>
    <row r="1924" ht="3" customHeight="1"/>
    <row r="1925" ht="3" customHeight="1"/>
    <row r="1926" ht="3" customHeight="1"/>
    <row r="1927" ht="3" customHeight="1"/>
    <row r="1928" ht="3" customHeight="1"/>
    <row r="1929" ht="3" customHeight="1"/>
    <row r="1930" ht="3" customHeight="1"/>
    <row r="1931" ht="3" customHeight="1"/>
    <row r="1932" ht="3" customHeight="1"/>
    <row r="1933" ht="3" customHeight="1"/>
    <row r="1934" ht="3" customHeight="1"/>
    <row r="1935" ht="3" customHeight="1"/>
    <row r="1936" ht="3" customHeight="1"/>
    <row r="1937" ht="3" customHeight="1"/>
    <row r="1938" ht="3" customHeight="1"/>
    <row r="1939" ht="3" customHeight="1"/>
    <row r="1940" ht="3" customHeight="1"/>
    <row r="1941" ht="3" customHeight="1"/>
    <row r="1942" ht="3" customHeight="1"/>
    <row r="1943" ht="3" customHeight="1"/>
    <row r="1944" ht="3" customHeight="1"/>
    <row r="1945" ht="3" customHeight="1"/>
    <row r="1946" ht="3" customHeight="1"/>
    <row r="1947" ht="3" customHeight="1"/>
    <row r="1948" ht="3" customHeight="1"/>
    <row r="1949" ht="3" customHeight="1"/>
    <row r="1950" ht="3" customHeight="1"/>
    <row r="1951" ht="3" customHeight="1"/>
    <row r="1952" ht="3" customHeight="1"/>
    <row r="1953" ht="3" customHeight="1"/>
    <row r="1954" ht="3" customHeight="1"/>
    <row r="1955" ht="3" customHeight="1"/>
    <row r="1956" ht="3" customHeight="1"/>
    <row r="1957" ht="3" customHeight="1"/>
    <row r="1958" ht="3" customHeight="1"/>
    <row r="1959" ht="3" customHeight="1"/>
    <row r="1960" ht="3" customHeight="1"/>
    <row r="1961" ht="3" customHeight="1"/>
    <row r="1962" ht="3" customHeight="1"/>
    <row r="1963" ht="3" customHeight="1"/>
    <row r="1964" ht="3" customHeight="1"/>
    <row r="1965" ht="3" customHeight="1"/>
    <row r="1966" ht="3" customHeight="1"/>
    <row r="1967" ht="3" customHeight="1"/>
    <row r="1968" ht="3" customHeight="1"/>
    <row r="1969" ht="3" customHeight="1"/>
    <row r="1970" ht="3" customHeight="1"/>
    <row r="1971" ht="3" customHeight="1"/>
    <row r="1972" ht="3" customHeight="1"/>
    <row r="1973" ht="3" customHeight="1"/>
    <row r="1974" ht="3" customHeight="1"/>
    <row r="1975" ht="3" customHeight="1"/>
    <row r="1976" ht="3" customHeight="1"/>
    <row r="1977" ht="3" customHeight="1"/>
    <row r="1978" ht="3" customHeight="1"/>
    <row r="1979" ht="3" customHeight="1"/>
    <row r="1980" ht="3" customHeight="1"/>
    <row r="1981" ht="3" customHeight="1"/>
    <row r="1982" ht="3" customHeight="1"/>
    <row r="1983" ht="3" customHeight="1"/>
    <row r="1984" ht="3" customHeight="1"/>
    <row r="1985" ht="3" customHeight="1"/>
    <row r="1986" ht="3" customHeight="1"/>
    <row r="1987" ht="3" customHeight="1"/>
    <row r="1988" ht="3" customHeight="1"/>
    <row r="1989" ht="3" customHeight="1"/>
    <row r="1990" ht="3" customHeight="1"/>
    <row r="1991" ht="3" customHeight="1"/>
    <row r="1992" ht="3" customHeight="1"/>
    <row r="1993" ht="3" customHeight="1"/>
    <row r="1994" ht="3" customHeight="1"/>
    <row r="1995" ht="3" customHeight="1"/>
    <row r="1996" ht="3" customHeight="1"/>
    <row r="1997" ht="3" customHeight="1"/>
    <row r="1998" ht="3" customHeight="1"/>
    <row r="1999" ht="3" customHeight="1"/>
    <row r="2000" ht="3" customHeight="1"/>
    <row r="2001" ht="3" customHeight="1"/>
    <row r="2002" ht="3" customHeight="1"/>
    <row r="2003" ht="3" customHeight="1"/>
    <row r="2004" ht="3" customHeight="1"/>
    <row r="2005" ht="3" customHeight="1"/>
    <row r="2006" ht="3" customHeight="1"/>
    <row r="2007" ht="3" customHeight="1"/>
    <row r="2008" ht="3" customHeight="1"/>
    <row r="2009" ht="3" customHeight="1"/>
    <row r="2010" ht="3" customHeight="1"/>
    <row r="2011" ht="3" customHeight="1"/>
    <row r="2012" ht="3" customHeight="1"/>
    <row r="2013" ht="3" customHeight="1"/>
    <row r="2014" ht="3" customHeight="1"/>
    <row r="2015" ht="3" customHeight="1"/>
    <row r="2016" ht="3" customHeight="1"/>
    <row r="2017" ht="3" customHeight="1"/>
    <row r="2018" ht="3" customHeight="1"/>
    <row r="2019" ht="3" customHeight="1"/>
    <row r="2020" ht="3" customHeight="1"/>
    <row r="2021" ht="3" customHeight="1"/>
    <row r="2022" ht="3" customHeight="1"/>
    <row r="2023" ht="3" customHeight="1"/>
    <row r="2024" ht="3" customHeight="1"/>
    <row r="2025" ht="3" customHeight="1"/>
    <row r="2026" ht="3" customHeight="1"/>
    <row r="2027" ht="3" customHeight="1"/>
    <row r="2028" ht="3" customHeight="1"/>
    <row r="2029" ht="3" customHeight="1"/>
    <row r="2030" ht="3" customHeight="1"/>
    <row r="2031" ht="3" customHeight="1"/>
    <row r="2032" ht="3" customHeight="1"/>
    <row r="2033" ht="3" customHeight="1"/>
    <row r="2034" ht="3" customHeight="1"/>
    <row r="2035" ht="3" customHeight="1"/>
    <row r="2036" ht="3" customHeight="1"/>
    <row r="2037" ht="3" customHeight="1"/>
    <row r="2038" ht="3" customHeight="1"/>
    <row r="2039" ht="3" customHeight="1"/>
    <row r="2040" ht="3" customHeight="1"/>
    <row r="2041" ht="3" customHeight="1"/>
    <row r="2042" ht="3" customHeight="1"/>
    <row r="2043" ht="3" customHeight="1"/>
    <row r="2044" ht="3" customHeight="1"/>
    <row r="2045" ht="3" customHeight="1"/>
    <row r="2046" ht="3" customHeight="1"/>
    <row r="2047" ht="3" customHeight="1"/>
    <row r="2048" ht="3" customHeight="1"/>
    <row r="2049" ht="3" customHeight="1"/>
    <row r="2050" ht="3" customHeight="1"/>
    <row r="2051" ht="3" customHeight="1"/>
    <row r="2052" ht="3" customHeight="1"/>
    <row r="2053" ht="3" customHeight="1"/>
    <row r="2054" ht="3" customHeight="1"/>
    <row r="2055" ht="3" customHeight="1"/>
    <row r="2056" ht="3" customHeight="1"/>
    <row r="2057" ht="3" customHeight="1"/>
    <row r="2058" ht="3" customHeight="1"/>
    <row r="2059" ht="3" customHeight="1"/>
    <row r="2060" ht="3" customHeight="1"/>
    <row r="2061" ht="3" customHeight="1"/>
    <row r="2062" ht="3" customHeight="1"/>
    <row r="2063" ht="3" customHeight="1"/>
    <row r="2064" ht="3" customHeight="1"/>
    <row r="2065" ht="3" customHeight="1"/>
    <row r="2066" ht="3" customHeight="1"/>
    <row r="2067" ht="3" customHeight="1"/>
    <row r="2068" ht="3" customHeight="1"/>
    <row r="2069" ht="3" customHeight="1"/>
    <row r="2070" ht="3" customHeight="1"/>
    <row r="2071" ht="3" customHeight="1"/>
    <row r="2072" ht="3" customHeight="1"/>
    <row r="2073" ht="3" customHeight="1"/>
    <row r="2074" ht="3" customHeight="1"/>
    <row r="2075" ht="3" customHeight="1"/>
    <row r="2076" ht="3" customHeight="1"/>
    <row r="2077" ht="3" customHeight="1"/>
    <row r="2078" ht="3" customHeight="1"/>
    <row r="2079" ht="3" customHeight="1"/>
    <row r="2080" ht="3" customHeight="1"/>
    <row r="2081" ht="3" customHeight="1"/>
    <row r="2082" ht="3" customHeight="1"/>
    <row r="2083" ht="3" customHeight="1"/>
    <row r="2084" ht="3" customHeight="1"/>
    <row r="2085" ht="3" customHeight="1"/>
    <row r="2086" ht="3" customHeight="1"/>
    <row r="2087" ht="3" customHeight="1"/>
    <row r="2088" ht="3" customHeight="1"/>
    <row r="2089" ht="3" customHeight="1"/>
    <row r="2090" ht="3" customHeight="1"/>
    <row r="2091" ht="3" customHeight="1"/>
    <row r="2092" ht="3" customHeight="1"/>
    <row r="2093" ht="3" customHeight="1"/>
    <row r="2094" ht="3" customHeight="1"/>
    <row r="2095" ht="3" customHeight="1"/>
    <row r="2096" ht="3" customHeight="1"/>
    <row r="2097" ht="3" customHeight="1"/>
    <row r="2098" ht="3" customHeight="1"/>
    <row r="2099" ht="3" customHeight="1"/>
    <row r="2100" ht="3" customHeight="1"/>
    <row r="2101" ht="3" customHeight="1"/>
    <row r="2102" ht="3" customHeight="1"/>
    <row r="2103" ht="3" customHeight="1"/>
    <row r="2104" ht="3" customHeight="1"/>
    <row r="2105" ht="3" customHeight="1"/>
    <row r="2106" ht="3" customHeight="1"/>
    <row r="2107" ht="3" customHeight="1"/>
    <row r="2108" ht="3" customHeight="1"/>
    <row r="2109" ht="3" customHeight="1"/>
    <row r="2110" ht="3" customHeight="1"/>
    <row r="2111" ht="3" customHeight="1"/>
    <row r="2112" ht="3" customHeight="1"/>
    <row r="2113" ht="3" customHeight="1"/>
    <row r="2114" ht="3" customHeight="1"/>
    <row r="2115" ht="3" customHeight="1"/>
    <row r="2116" ht="3" customHeight="1"/>
    <row r="2117" ht="3" customHeight="1"/>
    <row r="2118" ht="3" customHeight="1"/>
    <row r="2119" ht="3" customHeight="1"/>
    <row r="2120" ht="3" customHeight="1"/>
    <row r="2121" ht="3" customHeight="1"/>
    <row r="2122" ht="3" customHeight="1"/>
    <row r="2123" ht="3" customHeight="1"/>
    <row r="2124" ht="3" customHeight="1"/>
    <row r="2125" ht="3" customHeight="1"/>
    <row r="2126" ht="3" customHeight="1"/>
    <row r="2127" ht="3" customHeight="1"/>
    <row r="2128" ht="3" customHeight="1"/>
    <row r="2129" ht="3" customHeight="1"/>
    <row r="2130" ht="3" customHeight="1"/>
    <row r="2131" ht="3" customHeight="1"/>
    <row r="2132" ht="3" customHeight="1"/>
    <row r="2133" ht="3" customHeight="1"/>
    <row r="2134" ht="3" customHeight="1"/>
    <row r="2135" ht="3" customHeight="1"/>
    <row r="2136" ht="3" customHeight="1"/>
    <row r="2137" ht="3" customHeight="1"/>
    <row r="2138" ht="3" customHeight="1"/>
    <row r="2139" ht="3" customHeight="1"/>
    <row r="2140" ht="3" customHeight="1"/>
    <row r="2141" ht="3" customHeight="1"/>
    <row r="2142" ht="3" customHeight="1"/>
    <row r="2143" ht="3" customHeight="1"/>
    <row r="2144" ht="3" customHeight="1"/>
    <row r="2145" ht="3" customHeight="1"/>
    <row r="2146" ht="3" customHeight="1"/>
    <row r="2147" ht="3" customHeight="1"/>
    <row r="2148" ht="3" customHeight="1"/>
    <row r="2149" ht="3" customHeight="1"/>
    <row r="2150" ht="3" customHeight="1"/>
    <row r="2151" ht="3" customHeight="1"/>
    <row r="2152" ht="3" customHeight="1"/>
    <row r="2153" ht="3" customHeight="1"/>
    <row r="2154" ht="3" customHeight="1"/>
    <row r="2155" ht="3" customHeight="1"/>
    <row r="2156" ht="3" customHeight="1"/>
    <row r="2157" ht="3" customHeight="1"/>
    <row r="2158" ht="3" customHeight="1"/>
    <row r="2159" ht="3" customHeight="1"/>
    <row r="2160" ht="3" customHeight="1"/>
    <row r="2161" ht="3" customHeight="1"/>
    <row r="2162" ht="3" customHeight="1"/>
    <row r="2163" ht="3" customHeight="1"/>
    <row r="2164" ht="3" customHeight="1"/>
    <row r="2165" ht="3" customHeight="1"/>
    <row r="2166" ht="3" customHeight="1"/>
    <row r="2167" ht="3" customHeight="1"/>
    <row r="2168" ht="3" customHeight="1"/>
    <row r="2169" ht="3" customHeight="1"/>
    <row r="2170" ht="3" customHeight="1"/>
    <row r="2171" ht="3" customHeight="1"/>
    <row r="2172" ht="3" customHeight="1"/>
    <row r="2173" ht="3" customHeight="1"/>
    <row r="2174" ht="3" customHeight="1"/>
    <row r="2175" ht="3" customHeight="1"/>
    <row r="2176" ht="3" customHeight="1"/>
    <row r="2177" ht="3" customHeight="1"/>
    <row r="2178" ht="3" customHeight="1"/>
    <row r="2179" ht="3" customHeight="1"/>
    <row r="2180" ht="3" customHeight="1"/>
    <row r="2181" ht="3" customHeight="1"/>
    <row r="2182" ht="3" customHeight="1"/>
    <row r="2183" ht="3" customHeight="1"/>
    <row r="2184" ht="3" customHeight="1"/>
    <row r="2185" ht="3" customHeight="1"/>
    <row r="2186" ht="3" customHeight="1"/>
    <row r="2187" ht="3" customHeight="1"/>
    <row r="2188" ht="3" customHeight="1"/>
    <row r="2189" ht="3" customHeight="1"/>
    <row r="2190" ht="3" customHeight="1"/>
    <row r="2191" ht="3" customHeight="1"/>
    <row r="2192" ht="3" customHeight="1"/>
    <row r="2193" ht="3" customHeight="1"/>
    <row r="2194" ht="3" customHeight="1"/>
    <row r="2195" ht="3" customHeight="1"/>
    <row r="2196" ht="3" customHeight="1"/>
    <row r="2197" ht="3" customHeight="1"/>
    <row r="2198" ht="3" customHeight="1"/>
    <row r="2199" ht="3" customHeight="1"/>
    <row r="2200" ht="3" customHeight="1"/>
    <row r="2201" ht="3" customHeight="1"/>
    <row r="2202" ht="3" customHeight="1"/>
    <row r="2203" ht="3" customHeight="1"/>
    <row r="2204" ht="3" customHeight="1"/>
    <row r="2205" ht="3" customHeight="1"/>
    <row r="2206" ht="3" customHeight="1"/>
    <row r="2207" ht="3" customHeight="1"/>
    <row r="2208" ht="3" customHeight="1"/>
    <row r="2209" ht="3" customHeight="1"/>
    <row r="2210" ht="3" customHeight="1"/>
    <row r="2211" ht="3" customHeight="1"/>
    <row r="2212" ht="3" customHeight="1"/>
    <row r="2213" ht="3" customHeight="1"/>
    <row r="2214" ht="3" customHeight="1"/>
    <row r="2215" ht="3" customHeight="1"/>
    <row r="2216" ht="3" customHeight="1"/>
    <row r="2217" ht="3" customHeight="1"/>
    <row r="2218" ht="3" customHeight="1"/>
    <row r="2219" ht="3" customHeight="1"/>
    <row r="2220" ht="3" customHeight="1"/>
    <row r="2221" ht="3" customHeight="1"/>
    <row r="2222" ht="3" customHeight="1"/>
    <row r="2223" ht="3" customHeight="1"/>
    <row r="2224" ht="3" customHeight="1"/>
    <row r="2225" ht="3" customHeight="1"/>
    <row r="2226" ht="3" customHeight="1"/>
    <row r="2227" ht="3" customHeight="1"/>
    <row r="2228" ht="3" customHeight="1"/>
    <row r="2229" ht="3" customHeight="1"/>
    <row r="2230" ht="3" customHeight="1"/>
    <row r="2231" ht="3" customHeight="1"/>
    <row r="2232" ht="3" customHeight="1"/>
    <row r="2233" ht="3" customHeight="1"/>
    <row r="2234" ht="3" customHeight="1"/>
    <row r="2235" ht="3" customHeight="1"/>
    <row r="2236" ht="3" customHeight="1"/>
    <row r="2237" ht="3" customHeight="1"/>
    <row r="2238" ht="3" customHeight="1"/>
    <row r="2239" ht="3" customHeight="1"/>
    <row r="2240" ht="3" customHeight="1"/>
    <row r="2241" ht="3" customHeight="1"/>
    <row r="2242" ht="3" customHeight="1"/>
    <row r="2243" ht="3" customHeight="1"/>
    <row r="2244" ht="3" customHeight="1"/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2244"/>
  <sheetViews>
    <sheetView topLeftCell="A30" zoomScale="120" zoomScaleNormal="120" workbookViewId="0">
      <selection activeCell="F59" sqref="F59"/>
    </sheetView>
  </sheetViews>
  <sheetFormatPr baseColWidth="10" defaultRowHeight="9"/>
  <cols>
    <col min="1" max="16384" width="11.42578125" style="60"/>
  </cols>
  <sheetData>
    <row r="1" spans="2:2" ht="9.9499999999999993" customHeight="1"/>
    <row r="2" spans="2:2" ht="9.9499999999999993" customHeight="1"/>
    <row r="3" spans="2:2" ht="9.9499999999999993" customHeight="1"/>
    <row r="4" spans="2:2" ht="9.9499999999999993" customHeight="1"/>
    <row r="5" spans="2:2" ht="9.9499999999999993" customHeight="1"/>
    <row r="6" spans="2:2" ht="9.9499999999999993" customHeight="1"/>
    <row r="7" spans="2:2" ht="9.9499999999999993" customHeight="1"/>
    <row r="8" spans="2:2" ht="9.9499999999999993" customHeight="1"/>
    <row r="9" spans="2:2" ht="9.9499999999999993" customHeight="1">
      <c r="B9" s="60">
        <f t="shared" ref="B9:B16" si="0">B10+1666</f>
        <v>13328</v>
      </c>
    </row>
    <row r="10" spans="2:2" ht="9.9499999999999993" customHeight="1">
      <c r="B10" s="60">
        <f t="shared" si="0"/>
        <v>11662</v>
      </c>
    </row>
    <row r="11" spans="2:2" ht="9.9499999999999993" customHeight="1">
      <c r="B11" s="60">
        <f t="shared" si="0"/>
        <v>9996</v>
      </c>
    </row>
    <row r="12" spans="2:2" ht="9.9499999999999993" customHeight="1">
      <c r="B12" s="60">
        <f t="shared" si="0"/>
        <v>8330</v>
      </c>
    </row>
    <row r="13" spans="2:2" ht="9.9499999999999993" customHeight="1">
      <c r="B13" s="60">
        <f t="shared" si="0"/>
        <v>6664</v>
      </c>
    </row>
    <row r="14" spans="2:2" ht="9.9499999999999993" customHeight="1">
      <c r="B14" s="60">
        <f t="shared" si="0"/>
        <v>4998</v>
      </c>
    </row>
    <row r="15" spans="2:2" ht="9.9499999999999993" customHeight="1">
      <c r="B15" s="60">
        <f t="shared" si="0"/>
        <v>3332</v>
      </c>
    </row>
    <row r="16" spans="2:2" ht="9.9499999999999993" customHeight="1">
      <c r="B16" s="60">
        <f t="shared" si="0"/>
        <v>1666</v>
      </c>
    </row>
    <row r="17" spans="1:2" ht="9.9499999999999993" customHeight="1"/>
    <row r="18" spans="1:2" ht="9.9499999999999993" customHeight="1"/>
    <row r="19" spans="1:2" ht="9.9499999999999993" customHeight="1"/>
    <row r="20" spans="1:2" ht="9.9499999999999993" customHeight="1">
      <c r="A20" s="60">
        <f>B20</f>
        <v>44687.5</v>
      </c>
      <c r="B20" s="60">
        <f t="shared" ref="B20:B37" si="1">+B21+(40000-15000)/16</f>
        <v>44687.5</v>
      </c>
    </row>
    <row r="21" spans="1:2" ht="9.9499999999999993" customHeight="1">
      <c r="A21" s="60">
        <f t="shared" ref="A21:A48" si="2">B21</f>
        <v>43125</v>
      </c>
      <c r="B21" s="60">
        <f t="shared" si="1"/>
        <v>43125</v>
      </c>
    </row>
    <row r="22" spans="1:2" ht="9.9499999999999993" customHeight="1">
      <c r="A22" s="60">
        <f t="shared" si="2"/>
        <v>41562.5</v>
      </c>
      <c r="B22" s="60">
        <f t="shared" si="1"/>
        <v>41562.5</v>
      </c>
    </row>
    <row r="23" spans="1:2" ht="9.9499999999999993" customHeight="1">
      <c r="A23" s="60">
        <f t="shared" si="2"/>
        <v>40000</v>
      </c>
      <c r="B23" s="60">
        <f t="shared" si="1"/>
        <v>40000</v>
      </c>
    </row>
    <row r="24" spans="1:2" ht="9.9499999999999993" customHeight="1">
      <c r="A24" s="60">
        <f t="shared" si="2"/>
        <v>38437.5</v>
      </c>
      <c r="B24" s="60">
        <f t="shared" si="1"/>
        <v>38437.5</v>
      </c>
    </row>
    <row r="25" spans="1:2" ht="9.9499999999999993" customHeight="1">
      <c r="A25" s="60">
        <f t="shared" si="2"/>
        <v>36875</v>
      </c>
      <c r="B25" s="60">
        <f t="shared" si="1"/>
        <v>36875</v>
      </c>
    </row>
    <row r="26" spans="1:2" ht="9.9499999999999993" customHeight="1">
      <c r="A26" s="60">
        <f t="shared" si="2"/>
        <v>35312.5</v>
      </c>
      <c r="B26" s="60">
        <f t="shared" si="1"/>
        <v>35312.5</v>
      </c>
    </row>
    <row r="27" spans="1:2" ht="9.9499999999999993" customHeight="1">
      <c r="A27" s="60">
        <f t="shared" si="2"/>
        <v>33750</v>
      </c>
      <c r="B27" s="60">
        <f t="shared" si="1"/>
        <v>33750</v>
      </c>
    </row>
    <row r="28" spans="1:2" ht="9.9499999999999993" customHeight="1">
      <c r="A28" s="60">
        <f t="shared" si="2"/>
        <v>32187.5</v>
      </c>
      <c r="B28" s="60">
        <f t="shared" si="1"/>
        <v>32187.5</v>
      </c>
    </row>
    <row r="29" spans="1:2" ht="9.9499999999999993" customHeight="1">
      <c r="A29" s="60">
        <f t="shared" si="2"/>
        <v>30625</v>
      </c>
      <c r="B29" s="60">
        <f t="shared" si="1"/>
        <v>30625</v>
      </c>
    </row>
    <row r="30" spans="1:2" ht="9.9499999999999993" customHeight="1">
      <c r="A30" s="60">
        <f t="shared" si="2"/>
        <v>29062.5</v>
      </c>
      <c r="B30" s="60">
        <f t="shared" si="1"/>
        <v>29062.5</v>
      </c>
    </row>
    <row r="31" spans="1:2" ht="9.9499999999999993" customHeight="1">
      <c r="A31" s="60">
        <f t="shared" si="2"/>
        <v>27500</v>
      </c>
      <c r="B31" s="60">
        <f t="shared" si="1"/>
        <v>27500</v>
      </c>
    </row>
    <row r="32" spans="1:2" ht="9.9499999999999993" customHeight="1">
      <c r="A32" s="60">
        <f t="shared" si="2"/>
        <v>25937.5</v>
      </c>
      <c r="B32" s="60">
        <f t="shared" si="1"/>
        <v>25937.5</v>
      </c>
    </row>
    <row r="33" spans="1:2" ht="9.9499999999999993" customHeight="1">
      <c r="A33" s="60">
        <f t="shared" si="2"/>
        <v>24375</v>
      </c>
      <c r="B33" s="60">
        <f t="shared" si="1"/>
        <v>24375</v>
      </c>
    </row>
    <row r="34" spans="1:2" ht="9.9499999999999993" customHeight="1">
      <c r="A34" s="60">
        <f t="shared" si="2"/>
        <v>22812.5</v>
      </c>
      <c r="B34" s="60">
        <f t="shared" si="1"/>
        <v>22812.5</v>
      </c>
    </row>
    <row r="35" spans="1:2" ht="9.9499999999999993" customHeight="1">
      <c r="A35" s="60">
        <f t="shared" si="2"/>
        <v>21250</v>
      </c>
      <c r="B35" s="60">
        <f t="shared" si="1"/>
        <v>21250</v>
      </c>
    </row>
    <row r="36" spans="1:2" ht="9.9499999999999993" customHeight="1">
      <c r="A36" s="60">
        <f t="shared" si="2"/>
        <v>19687.5</v>
      </c>
      <c r="B36" s="60">
        <f t="shared" si="1"/>
        <v>19687.5</v>
      </c>
    </row>
    <row r="37" spans="1:2" ht="9.9499999999999993" customHeight="1">
      <c r="A37" s="60">
        <f t="shared" si="2"/>
        <v>18125</v>
      </c>
      <c r="B37" s="60">
        <f t="shared" si="1"/>
        <v>18125</v>
      </c>
    </row>
    <row r="38" spans="1:2" ht="9.9499999999999993" customHeight="1">
      <c r="A38" s="60">
        <f t="shared" si="2"/>
        <v>16562.5</v>
      </c>
      <c r="B38" s="60">
        <f>+B39+(40000-15000)/16</f>
        <v>16562.5</v>
      </c>
    </row>
    <row r="39" spans="1:2" ht="9.9499999999999993" customHeight="1">
      <c r="A39" s="60">
        <f t="shared" si="2"/>
        <v>15000</v>
      </c>
      <c r="B39" s="60">
        <v>15000</v>
      </c>
    </row>
    <row r="40" spans="1:2" ht="9.9499999999999993" customHeight="1">
      <c r="A40" s="60">
        <f t="shared" si="2"/>
        <v>13333.333333333332</v>
      </c>
      <c r="B40" s="60">
        <f t="shared" ref="B40:B44" si="3">B41+5000/3</f>
        <v>13333.333333333332</v>
      </c>
    </row>
    <row r="41" spans="1:2" ht="9.9499999999999993" customHeight="1">
      <c r="A41" s="60">
        <f t="shared" si="2"/>
        <v>11666.666666666666</v>
      </c>
      <c r="B41" s="60">
        <f t="shared" si="3"/>
        <v>11666.666666666666</v>
      </c>
    </row>
    <row r="42" spans="1:2" ht="9.9499999999999993" customHeight="1">
      <c r="A42" s="60">
        <f t="shared" si="2"/>
        <v>10000</v>
      </c>
      <c r="B42" s="60">
        <f t="shared" si="3"/>
        <v>10000</v>
      </c>
    </row>
    <row r="43" spans="1:2" ht="9.9499999999999993" customHeight="1">
      <c r="A43" s="60">
        <f t="shared" si="2"/>
        <v>8333.3333333333339</v>
      </c>
      <c r="B43" s="60">
        <f t="shared" si="3"/>
        <v>8333.3333333333339</v>
      </c>
    </row>
    <row r="44" spans="1:2" ht="9.9499999999999993" customHeight="1">
      <c r="A44" s="60">
        <f t="shared" si="2"/>
        <v>6666.666666666667</v>
      </c>
      <c r="B44" s="60">
        <f t="shared" si="3"/>
        <v>6666.666666666667</v>
      </c>
    </row>
    <row r="45" spans="1:2" ht="9.9499999999999993" customHeight="1">
      <c r="A45" s="60">
        <f t="shared" si="2"/>
        <v>5000</v>
      </c>
      <c r="B45" s="60">
        <f t="shared" ref="B45:B46" si="4">B46+5000/3</f>
        <v>5000</v>
      </c>
    </row>
    <row r="46" spans="1:2" ht="9.9499999999999993" customHeight="1">
      <c r="A46" s="60">
        <f t="shared" si="2"/>
        <v>3333.3333333333335</v>
      </c>
      <c r="B46" s="60">
        <f t="shared" si="4"/>
        <v>3333.3333333333335</v>
      </c>
    </row>
    <row r="47" spans="1:2" ht="9.9499999999999993" customHeight="1">
      <c r="A47" s="60">
        <f t="shared" si="2"/>
        <v>1666.6666666666667</v>
      </c>
      <c r="B47" s="60">
        <f>B48+5000/3</f>
        <v>1666.6666666666667</v>
      </c>
    </row>
    <row r="48" spans="1:2" ht="9.9499999999999993" customHeight="1">
      <c r="A48" s="60">
        <f t="shared" si="2"/>
        <v>0</v>
      </c>
      <c r="B48" s="60">
        <v>0</v>
      </c>
    </row>
    <row r="49" spans="2:2" ht="9.9499999999999993" customHeight="1"/>
    <row r="50" spans="2:2" ht="9.9499999999999993" customHeight="1"/>
    <row r="51" spans="2:2" ht="9.9499999999999993" customHeight="1"/>
    <row r="52" spans="2:2" ht="9.9499999999999993" customHeight="1">
      <c r="B52" s="59"/>
    </row>
    <row r="53" spans="2:2" ht="9.9499999999999993" customHeight="1"/>
    <row r="54" spans="2:2" ht="9.9499999999999993" customHeight="1"/>
    <row r="55" spans="2:2" ht="9.9499999999999993" customHeight="1"/>
    <row r="56" spans="2:2" ht="9.9499999999999993" customHeight="1"/>
    <row r="57" spans="2:2" ht="9.9499999999999993" customHeight="1"/>
    <row r="58" spans="2:2" ht="9.9499999999999993" customHeight="1"/>
    <row r="59" spans="2:2" ht="9.9499999999999993" customHeight="1"/>
    <row r="60" spans="2:2" ht="9.9499999999999993" customHeight="1"/>
    <row r="61" spans="2:2" ht="9.9499999999999993" customHeight="1"/>
    <row r="62" spans="2:2" ht="9.9499999999999993" customHeight="1"/>
    <row r="63" spans="2:2" ht="9.9499999999999993" customHeight="1"/>
    <row r="64" spans="2:2" ht="9.9499999999999993" customHeight="1"/>
    <row r="65" spans="1:1" ht="9.9499999999999993" customHeight="1"/>
    <row r="66" spans="1:1" ht="9.9499999999999993" customHeight="1"/>
    <row r="67" spans="1:1" ht="9.9499999999999993" customHeight="1"/>
    <row r="68" spans="1:1" ht="9.9499999999999993" customHeight="1"/>
    <row r="69" spans="1:1" ht="9.9499999999999993" customHeight="1"/>
    <row r="70" spans="1:1" ht="9.9499999999999993" customHeight="1">
      <c r="A70" s="61">
        <v>30000</v>
      </c>
    </row>
    <row r="71" spans="1:1" ht="9.9499999999999993" customHeight="1"/>
    <row r="72" spans="1:1" ht="9.9499999999999993" customHeight="1"/>
    <row r="73" spans="1:1" ht="9.9499999999999993" customHeight="1"/>
    <row r="74" spans="1:1" ht="9.9499999999999993" customHeight="1"/>
    <row r="75" spans="1:1" ht="9.9499999999999993" customHeight="1"/>
    <row r="76" spans="1:1" ht="9.9499999999999993" customHeight="1"/>
    <row r="77" spans="1:1" ht="9.9499999999999993" customHeight="1"/>
    <row r="78" spans="1:1" ht="9.9499999999999993" customHeight="1"/>
    <row r="79" spans="1:1" ht="9.9499999999999993" customHeight="1"/>
    <row r="80" spans="1:1" ht="9.9499999999999993" customHeight="1">
      <c r="A80" s="61">
        <v>20000</v>
      </c>
    </row>
    <row r="81" spans="1:1" ht="9.9499999999999993" customHeight="1"/>
    <row r="82" spans="1:1" ht="9.9499999999999993" customHeight="1"/>
    <row r="83" spans="1:1" ht="9.9499999999999993" customHeight="1"/>
    <row r="84" spans="1:1" ht="9.9499999999999993" customHeight="1"/>
    <row r="85" spans="1:1" ht="9.9499999999999993" customHeight="1"/>
    <row r="86" spans="1:1" ht="9.9499999999999993" customHeight="1"/>
    <row r="87" spans="1:1" ht="9.9499999999999993" customHeight="1"/>
    <row r="88" spans="1:1" ht="9.9499999999999993" customHeight="1"/>
    <row r="89" spans="1:1" ht="9.9499999999999993" customHeight="1"/>
    <row r="90" spans="1:1" ht="9.9499999999999993" customHeight="1">
      <c r="A90" s="61">
        <v>10000</v>
      </c>
    </row>
    <row r="91" spans="1:1" ht="9.9499999999999993" customHeight="1"/>
    <row r="92" spans="1:1" ht="9.9499999999999993" customHeight="1"/>
    <row r="93" spans="1:1" ht="9.9499999999999993" customHeight="1"/>
    <row r="94" spans="1:1" ht="9.9499999999999993" customHeight="1"/>
    <row r="95" spans="1:1" ht="9.9499999999999993" customHeight="1"/>
    <row r="96" spans="1:1" ht="9.9499999999999993" customHeight="1"/>
    <row r="97" spans="1:1" ht="9.9499999999999993" customHeight="1"/>
    <row r="98" spans="1:1" ht="9.9499999999999993" customHeight="1"/>
    <row r="99" spans="1:1" ht="9.9499999999999993" customHeight="1"/>
    <row r="100" spans="1:1" ht="9.9499999999999993" customHeight="1">
      <c r="A100" s="61">
        <v>0</v>
      </c>
    </row>
    <row r="101" spans="1:1" ht="9.9499999999999993" customHeight="1"/>
    <row r="102" spans="1:1" ht="9.9499999999999993" customHeight="1"/>
    <row r="103" spans="1:1" ht="9.9499999999999993" customHeight="1"/>
    <row r="104" spans="1:1" ht="9.9499999999999993" customHeight="1"/>
    <row r="105" spans="1:1" ht="9.9499999999999993" customHeight="1"/>
    <row r="106" spans="1:1" ht="9.9499999999999993" customHeight="1"/>
    <row r="107" spans="1:1" ht="9.9499999999999993" customHeight="1"/>
    <row r="108" spans="1:1" ht="9.9499999999999993" customHeight="1"/>
    <row r="109" spans="1:1" ht="9.9499999999999993" customHeight="1"/>
    <row r="110" spans="1:1" ht="9.9499999999999993" customHeight="1"/>
    <row r="111" spans="1:1" ht="9.9499999999999993" customHeight="1"/>
    <row r="112" spans="1:1" ht="9.9499999999999993" customHeight="1"/>
    <row r="113" ht="9.9499999999999993" customHeight="1"/>
    <row r="114" ht="9.9499999999999993" customHeight="1"/>
    <row r="115" ht="9.9499999999999993" customHeight="1"/>
    <row r="116" ht="9.9499999999999993" customHeight="1"/>
    <row r="117" ht="9.9499999999999993" customHeight="1"/>
    <row r="118" ht="9.9499999999999993" customHeight="1"/>
    <row r="119" ht="9.9499999999999993" customHeight="1"/>
    <row r="120" ht="9.9499999999999993" customHeight="1"/>
    <row r="121" ht="9.9499999999999993" customHeight="1"/>
    <row r="122" ht="9.9499999999999993" customHeight="1"/>
    <row r="123" ht="9.9499999999999993" customHeight="1"/>
    <row r="124" ht="9.9499999999999993" customHeight="1"/>
    <row r="125" ht="9.9499999999999993" customHeight="1"/>
    <row r="126" ht="9.9499999999999993" customHeight="1"/>
    <row r="127" ht="9.9499999999999993" customHeight="1"/>
    <row r="128" ht="9.9499999999999993" customHeight="1"/>
    <row r="129" ht="9.9499999999999993" customHeight="1"/>
    <row r="130" ht="9.9499999999999993" customHeight="1"/>
    <row r="131" ht="9.9499999999999993" customHeight="1"/>
    <row r="132" ht="9.9499999999999993" customHeight="1"/>
    <row r="133" ht="9.9499999999999993" customHeight="1"/>
    <row r="134" ht="9.9499999999999993" customHeight="1"/>
    <row r="135" ht="9.9499999999999993" customHeight="1"/>
    <row r="136" ht="9.9499999999999993" customHeight="1"/>
    <row r="137" ht="9.9499999999999993" customHeight="1"/>
    <row r="138" ht="9.9499999999999993" customHeight="1"/>
    <row r="139" ht="9.9499999999999993" customHeight="1"/>
    <row r="140" ht="9.9499999999999993" customHeight="1"/>
    <row r="141" ht="9.9499999999999993" customHeight="1"/>
    <row r="142" ht="9.9499999999999993" customHeight="1"/>
    <row r="143" ht="9.9499999999999993" customHeight="1"/>
    <row r="144" ht="9.9499999999999993" customHeight="1"/>
    <row r="145" ht="9.9499999999999993" customHeight="1"/>
    <row r="146" ht="9.9499999999999993" customHeight="1"/>
    <row r="147" ht="9.9499999999999993" customHeight="1"/>
    <row r="148" ht="9.9499999999999993" customHeight="1"/>
    <row r="149" ht="9.9499999999999993" customHeight="1"/>
    <row r="150" ht="9.9499999999999993" customHeight="1"/>
    <row r="151" ht="9.9499999999999993" customHeight="1"/>
    <row r="152" ht="9.9499999999999993" customHeight="1"/>
    <row r="153" ht="9.9499999999999993" customHeight="1"/>
    <row r="154" ht="9.9499999999999993" customHeight="1"/>
    <row r="155" ht="9.9499999999999993" customHeight="1"/>
    <row r="156" ht="9.9499999999999993" customHeight="1"/>
    <row r="157" ht="9.9499999999999993" customHeight="1"/>
    <row r="158" ht="9.9499999999999993" customHeight="1"/>
    <row r="159" ht="9.9499999999999993" customHeight="1"/>
    <row r="160" ht="9.9499999999999993" customHeight="1"/>
    <row r="161" ht="9.9499999999999993" customHeight="1"/>
    <row r="162" ht="9.9499999999999993" customHeight="1"/>
    <row r="163" ht="9.9499999999999993" customHeight="1"/>
    <row r="164" ht="9.9499999999999993" customHeight="1"/>
    <row r="165" ht="9.9499999999999993" customHeight="1"/>
    <row r="166" ht="9.9499999999999993" customHeight="1"/>
    <row r="167" ht="9.9499999999999993" customHeight="1"/>
    <row r="168" ht="9.9499999999999993" customHeight="1"/>
    <row r="169" ht="9.9499999999999993" customHeight="1"/>
    <row r="170" ht="9.9499999999999993" customHeight="1"/>
    <row r="171" ht="9.9499999999999993" customHeight="1"/>
    <row r="172" ht="9.9499999999999993" customHeight="1"/>
    <row r="173" ht="9.9499999999999993" customHeight="1"/>
    <row r="174" ht="9.9499999999999993" customHeight="1"/>
    <row r="175" ht="9.9499999999999993" customHeight="1"/>
    <row r="176" ht="9.9499999999999993" customHeight="1"/>
    <row r="177" ht="9.9499999999999993" customHeight="1"/>
    <row r="178" ht="9.9499999999999993" customHeight="1"/>
    <row r="179" ht="9.9499999999999993" customHeight="1"/>
    <row r="180" ht="9.9499999999999993" customHeight="1"/>
    <row r="181" ht="9.9499999999999993" customHeight="1"/>
    <row r="182" ht="9.9499999999999993" customHeight="1"/>
    <row r="183" ht="9.9499999999999993" customHeight="1"/>
    <row r="184" ht="9.9499999999999993" customHeight="1"/>
    <row r="185" ht="9.9499999999999993" customHeight="1"/>
    <row r="186" ht="9.9499999999999993" customHeight="1"/>
    <row r="187" ht="9.9499999999999993" customHeight="1"/>
    <row r="188" ht="9.9499999999999993" customHeight="1"/>
    <row r="189" ht="9.9499999999999993" customHeight="1"/>
    <row r="190" ht="9.9499999999999993" customHeight="1"/>
    <row r="191" ht="9.9499999999999993" customHeight="1"/>
    <row r="192" ht="9.9499999999999993" customHeight="1"/>
    <row r="193" ht="9.9499999999999993" customHeight="1"/>
    <row r="194" ht="3" customHeight="1"/>
    <row r="195" ht="3" customHeight="1"/>
    <row r="196" ht="3" customHeight="1"/>
    <row r="197" ht="3" customHeight="1"/>
    <row r="198" ht="3" customHeight="1"/>
    <row r="199" ht="3" customHeight="1"/>
    <row r="200" ht="3" customHeight="1"/>
    <row r="201" ht="3" customHeight="1"/>
    <row r="202" ht="3" customHeight="1"/>
    <row r="203" ht="3" customHeight="1"/>
    <row r="204" ht="3" customHeight="1"/>
    <row r="205" ht="3" customHeight="1"/>
    <row r="206" ht="3" customHeight="1"/>
    <row r="207" ht="3" customHeight="1"/>
    <row r="208" ht="3" customHeight="1"/>
    <row r="209" ht="3" customHeight="1"/>
    <row r="210" ht="3" customHeight="1"/>
    <row r="211" ht="3" customHeight="1"/>
    <row r="212" ht="3" customHeight="1"/>
    <row r="213" ht="3" customHeight="1"/>
    <row r="214" ht="3" customHeight="1"/>
    <row r="215" ht="3" customHeight="1"/>
    <row r="216" ht="3" customHeight="1"/>
    <row r="217" ht="3" customHeight="1"/>
    <row r="218" ht="3" customHeight="1"/>
    <row r="219" ht="3" customHeight="1"/>
    <row r="220" ht="3" customHeight="1"/>
    <row r="221" ht="3" customHeight="1"/>
    <row r="222" ht="3" customHeight="1"/>
    <row r="223" ht="3" customHeight="1"/>
    <row r="224" ht="3" customHeight="1"/>
    <row r="225" ht="3" customHeight="1"/>
    <row r="226" ht="3" customHeight="1"/>
    <row r="227" ht="3" customHeight="1"/>
    <row r="228" ht="3" customHeight="1"/>
    <row r="229" ht="3" customHeight="1"/>
    <row r="230" ht="3" customHeight="1"/>
    <row r="231" ht="3" customHeight="1"/>
    <row r="232" ht="3" customHeight="1"/>
    <row r="233" ht="3" customHeight="1"/>
    <row r="234" ht="3" customHeight="1"/>
    <row r="235" ht="3" customHeight="1"/>
    <row r="236" ht="3" customHeight="1"/>
    <row r="237" ht="3" customHeight="1"/>
    <row r="238" ht="3" customHeight="1"/>
    <row r="239" ht="3" customHeight="1"/>
    <row r="240" ht="3" customHeight="1"/>
    <row r="241" ht="3" customHeight="1"/>
    <row r="242" ht="3" customHeight="1"/>
    <row r="243" ht="3" customHeight="1"/>
    <row r="244" ht="3" customHeight="1"/>
    <row r="245" ht="3" customHeight="1"/>
    <row r="246" ht="3" customHeight="1"/>
    <row r="247" ht="3" customHeight="1"/>
    <row r="248" ht="3" customHeight="1"/>
    <row r="249" ht="3" customHeight="1"/>
    <row r="250" ht="3" customHeight="1"/>
    <row r="251" ht="3" customHeight="1"/>
    <row r="252" ht="3" customHeight="1"/>
    <row r="253" ht="3" customHeight="1"/>
    <row r="254" ht="3" customHeight="1"/>
    <row r="255" ht="3" customHeight="1"/>
    <row r="256" ht="3" customHeight="1"/>
    <row r="257" ht="3" customHeight="1"/>
    <row r="258" ht="3" customHeight="1"/>
    <row r="259" ht="3" customHeight="1"/>
    <row r="260" ht="3" customHeight="1"/>
    <row r="261" ht="3" customHeight="1"/>
    <row r="262" ht="3" customHeight="1"/>
    <row r="263" ht="3" customHeight="1"/>
    <row r="264" ht="3" customHeight="1"/>
    <row r="265" ht="3" customHeight="1"/>
    <row r="266" ht="3" customHeight="1"/>
    <row r="267" ht="3" customHeight="1"/>
    <row r="268" ht="3" customHeight="1"/>
    <row r="269" ht="3" customHeight="1"/>
    <row r="270" ht="3" customHeight="1"/>
    <row r="271" ht="3" customHeight="1"/>
    <row r="272" ht="3" customHeight="1"/>
    <row r="273" ht="3" customHeight="1"/>
    <row r="274" ht="3" customHeight="1"/>
    <row r="275" ht="3" customHeight="1"/>
    <row r="276" ht="3" customHeight="1"/>
    <row r="277" ht="3" customHeight="1"/>
    <row r="278" ht="3" customHeight="1"/>
    <row r="279" ht="3" customHeight="1"/>
    <row r="280" ht="3" customHeight="1"/>
    <row r="281" ht="3" customHeight="1"/>
    <row r="282" ht="3" customHeight="1"/>
    <row r="283" ht="3" customHeight="1"/>
    <row r="284" ht="3" customHeight="1"/>
    <row r="285" ht="3" customHeight="1"/>
    <row r="286" ht="3" customHeight="1"/>
    <row r="287" ht="3" customHeight="1"/>
    <row r="288" ht="3" customHeight="1"/>
    <row r="289" ht="3" customHeight="1"/>
    <row r="290" ht="3" customHeight="1"/>
    <row r="291" ht="3" customHeight="1"/>
    <row r="292" ht="3" customHeight="1"/>
    <row r="293" ht="3" customHeight="1"/>
    <row r="294" ht="3" customHeight="1"/>
    <row r="295" ht="3" customHeight="1"/>
    <row r="296" ht="3" customHeight="1"/>
    <row r="297" ht="3" customHeight="1"/>
    <row r="298" ht="3" customHeight="1"/>
    <row r="299" ht="3" customHeight="1"/>
    <row r="300" ht="3" customHeight="1"/>
    <row r="301" ht="3" customHeight="1"/>
    <row r="302" ht="3" customHeight="1"/>
    <row r="303" ht="3" customHeight="1"/>
    <row r="304" ht="3" customHeight="1"/>
    <row r="305" ht="3" customHeight="1"/>
    <row r="306" ht="3" customHeight="1"/>
    <row r="307" ht="3" customHeight="1"/>
    <row r="308" ht="3" customHeight="1"/>
    <row r="309" ht="3" customHeight="1"/>
    <row r="310" ht="3" customHeight="1"/>
    <row r="311" ht="3" customHeight="1"/>
    <row r="312" ht="3" customHeight="1"/>
    <row r="313" ht="3" customHeight="1"/>
    <row r="314" ht="3" customHeight="1"/>
    <row r="315" ht="3" customHeight="1"/>
    <row r="316" ht="3" customHeight="1"/>
    <row r="317" ht="3" customHeight="1"/>
    <row r="318" ht="3" customHeight="1"/>
    <row r="319" ht="3" customHeight="1"/>
    <row r="320" ht="3" customHeight="1"/>
    <row r="321" ht="3" customHeight="1"/>
    <row r="322" ht="3" customHeight="1"/>
    <row r="323" ht="3" customHeight="1"/>
    <row r="324" ht="3" customHeight="1"/>
    <row r="325" ht="3" customHeight="1"/>
    <row r="326" ht="3" customHeight="1"/>
    <row r="327" ht="3" customHeight="1"/>
    <row r="328" ht="3" customHeight="1"/>
    <row r="329" ht="3" customHeight="1"/>
    <row r="330" ht="3" customHeight="1"/>
    <row r="331" ht="3" customHeight="1"/>
    <row r="332" ht="3" customHeight="1"/>
    <row r="333" ht="3" customHeight="1"/>
    <row r="334" ht="3" customHeight="1"/>
    <row r="335" ht="3" customHeight="1"/>
    <row r="336" ht="3" customHeight="1"/>
    <row r="337" ht="3" customHeight="1"/>
    <row r="338" ht="3" customHeight="1"/>
    <row r="339" ht="3" customHeight="1"/>
    <row r="340" ht="3" customHeight="1"/>
    <row r="341" ht="3" customHeight="1"/>
    <row r="342" ht="3" customHeight="1"/>
    <row r="343" ht="3" customHeight="1"/>
    <row r="344" ht="3" customHeight="1"/>
    <row r="345" ht="3" customHeight="1"/>
    <row r="346" ht="3" customHeight="1"/>
    <row r="347" ht="3" customHeight="1"/>
    <row r="348" ht="3" customHeight="1"/>
    <row r="349" ht="3" customHeight="1"/>
    <row r="350" ht="3" customHeight="1"/>
    <row r="351" ht="3" customHeight="1"/>
    <row r="352" ht="3" customHeight="1"/>
    <row r="353" ht="3" customHeight="1"/>
    <row r="354" ht="3" customHeight="1"/>
    <row r="355" ht="3" customHeight="1"/>
    <row r="356" ht="3" customHeight="1"/>
    <row r="357" ht="3" customHeight="1"/>
    <row r="358" ht="3" customHeight="1"/>
    <row r="359" ht="3" customHeight="1"/>
    <row r="360" ht="3" customHeight="1"/>
    <row r="361" ht="3" customHeight="1"/>
    <row r="362" ht="3" customHeight="1"/>
    <row r="363" ht="3" customHeight="1"/>
    <row r="364" ht="3" customHeight="1"/>
    <row r="365" ht="3" customHeight="1"/>
    <row r="366" ht="3" customHeight="1"/>
    <row r="367" ht="3" customHeight="1"/>
    <row r="368" ht="3" customHeight="1"/>
    <row r="369" ht="3" customHeight="1"/>
    <row r="370" ht="3" customHeight="1"/>
    <row r="371" ht="3" customHeight="1"/>
    <row r="372" ht="3" customHeight="1"/>
    <row r="373" ht="3" customHeight="1"/>
    <row r="374" ht="3" customHeight="1"/>
    <row r="375" ht="3" customHeight="1"/>
    <row r="376" ht="3" customHeight="1"/>
    <row r="377" ht="3" customHeight="1"/>
    <row r="378" ht="3" customHeight="1"/>
    <row r="379" ht="3" customHeight="1"/>
    <row r="380" ht="3" customHeight="1"/>
    <row r="381" ht="3" customHeight="1"/>
    <row r="382" ht="3" customHeight="1"/>
    <row r="383" ht="3" customHeight="1"/>
    <row r="384" ht="3" customHeight="1"/>
    <row r="385" ht="3" customHeight="1"/>
    <row r="386" ht="3" customHeight="1"/>
    <row r="387" ht="3" customHeight="1"/>
    <row r="388" ht="3" customHeight="1"/>
    <row r="389" ht="3" customHeight="1"/>
    <row r="390" ht="3" customHeight="1"/>
    <row r="391" ht="3" customHeight="1"/>
    <row r="392" ht="3" customHeight="1"/>
    <row r="393" ht="3" customHeight="1"/>
    <row r="394" ht="3" customHeight="1"/>
    <row r="395" ht="3" customHeight="1"/>
    <row r="396" ht="3" customHeight="1"/>
    <row r="397" ht="3" customHeight="1"/>
    <row r="398" ht="3" customHeight="1"/>
    <row r="399" ht="3" customHeight="1"/>
    <row r="400" ht="3" customHeight="1"/>
    <row r="401" ht="3" customHeight="1"/>
    <row r="402" ht="3" customHeight="1"/>
    <row r="403" ht="3" customHeight="1"/>
    <row r="404" ht="3" customHeight="1"/>
    <row r="405" ht="3" customHeight="1"/>
    <row r="406" ht="3" customHeight="1"/>
    <row r="407" ht="3" customHeight="1"/>
    <row r="408" ht="3" customHeight="1"/>
    <row r="409" ht="3" customHeight="1"/>
    <row r="410" ht="3" customHeight="1"/>
    <row r="411" ht="3" customHeight="1"/>
    <row r="412" ht="3" customHeight="1"/>
    <row r="413" ht="3" customHeight="1"/>
    <row r="414" ht="3" customHeight="1"/>
    <row r="415" ht="3" customHeight="1"/>
    <row r="416" ht="3" customHeight="1"/>
    <row r="417" ht="3" customHeight="1"/>
    <row r="418" ht="3" customHeight="1"/>
    <row r="419" ht="3" customHeight="1"/>
    <row r="420" ht="3" customHeight="1"/>
    <row r="421" ht="3" customHeight="1"/>
    <row r="422" ht="3" customHeight="1"/>
    <row r="423" ht="3" customHeight="1"/>
    <row r="424" ht="3" customHeight="1"/>
    <row r="425" ht="3" customHeight="1"/>
    <row r="426" ht="3" customHeight="1"/>
    <row r="427" ht="3" customHeight="1"/>
    <row r="428" ht="3" customHeight="1"/>
    <row r="429" ht="3" customHeight="1"/>
    <row r="430" ht="3" customHeight="1"/>
    <row r="431" ht="3" customHeight="1"/>
    <row r="432" ht="3" customHeight="1"/>
    <row r="433" ht="3" customHeight="1"/>
    <row r="434" ht="3" customHeight="1"/>
    <row r="435" ht="3" customHeight="1"/>
    <row r="436" ht="3" customHeight="1"/>
    <row r="437" ht="3" customHeight="1"/>
    <row r="438" ht="3" customHeight="1"/>
    <row r="439" ht="3" customHeight="1"/>
    <row r="440" ht="3" customHeight="1"/>
    <row r="441" ht="3" customHeight="1"/>
    <row r="442" ht="3" customHeight="1"/>
    <row r="443" ht="3" customHeight="1"/>
    <row r="444" ht="3" customHeight="1"/>
    <row r="445" ht="3" customHeight="1"/>
    <row r="446" ht="3" customHeight="1"/>
    <row r="447" ht="3" customHeight="1"/>
    <row r="448" ht="3" customHeight="1"/>
    <row r="449" ht="3" customHeight="1"/>
    <row r="450" ht="3" customHeight="1"/>
    <row r="451" ht="3" customHeight="1"/>
    <row r="452" ht="3" customHeight="1"/>
    <row r="453" ht="3" customHeight="1"/>
    <row r="454" ht="3" customHeight="1"/>
    <row r="455" ht="3" customHeight="1"/>
    <row r="456" ht="3" customHeight="1"/>
    <row r="457" ht="3" customHeight="1"/>
    <row r="458" ht="3" customHeight="1"/>
    <row r="459" ht="3" customHeight="1"/>
    <row r="460" ht="3" customHeight="1"/>
    <row r="461" ht="3" customHeight="1"/>
    <row r="462" ht="3" customHeight="1"/>
    <row r="463" ht="3" customHeight="1"/>
    <row r="464" ht="3" customHeight="1"/>
    <row r="465" ht="3" customHeight="1"/>
    <row r="466" ht="3" customHeight="1"/>
    <row r="467" ht="3" customHeight="1"/>
    <row r="468" ht="3" customHeight="1"/>
    <row r="469" ht="3" customHeight="1"/>
    <row r="470" ht="3" customHeight="1"/>
    <row r="471" ht="3" customHeight="1"/>
    <row r="472" ht="3" customHeight="1"/>
    <row r="473" ht="3" customHeight="1"/>
    <row r="474" ht="3" customHeight="1"/>
    <row r="475" ht="3" customHeight="1"/>
    <row r="476" ht="3" customHeight="1"/>
    <row r="477" ht="3" customHeight="1"/>
    <row r="478" ht="3" customHeight="1"/>
    <row r="479" ht="3" customHeight="1"/>
    <row r="480" ht="3" customHeight="1"/>
    <row r="481" ht="3" customHeight="1"/>
    <row r="482" ht="3" customHeight="1"/>
    <row r="483" ht="3" customHeight="1"/>
    <row r="484" ht="3" customHeight="1"/>
    <row r="485" ht="3" customHeight="1"/>
    <row r="486" ht="3" customHeight="1"/>
    <row r="487" ht="3" customHeight="1"/>
    <row r="488" ht="3" customHeight="1"/>
    <row r="489" ht="3" customHeight="1"/>
    <row r="490" ht="3" customHeight="1"/>
    <row r="491" ht="3" customHeight="1"/>
    <row r="492" ht="3" customHeight="1"/>
    <row r="493" ht="3" customHeight="1"/>
    <row r="494" ht="3" customHeight="1"/>
    <row r="495" ht="3" customHeight="1"/>
    <row r="496" ht="3" customHeight="1"/>
    <row r="497" ht="3" customHeight="1"/>
    <row r="498" ht="3" customHeight="1"/>
    <row r="499" ht="3" customHeight="1"/>
    <row r="500" ht="3" customHeight="1"/>
    <row r="501" ht="3" customHeight="1"/>
    <row r="502" ht="3" customHeight="1"/>
    <row r="503" ht="3" customHeight="1"/>
    <row r="504" ht="3" customHeight="1"/>
    <row r="505" ht="3" customHeight="1"/>
    <row r="506" ht="3" customHeight="1"/>
    <row r="507" ht="3" customHeight="1"/>
    <row r="508" ht="3" customHeight="1"/>
    <row r="509" ht="3" customHeight="1"/>
    <row r="510" ht="3" customHeight="1"/>
    <row r="511" ht="3" customHeight="1"/>
    <row r="512" ht="3" customHeight="1"/>
    <row r="513" ht="3" customHeight="1"/>
    <row r="514" ht="3" customHeight="1"/>
    <row r="515" ht="3" customHeight="1"/>
    <row r="516" ht="3" customHeight="1"/>
    <row r="517" ht="3" customHeight="1"/>
    <row r="518" ht="3" customHeight="1"/>
    <row r="519" ht="3" customHeight="1"/>
    <row r="520" ht="3" customHeight="1"/>
    <row r="521" ht="3" customHeight="1"/>
    <row r="522" ht="3" customHeight="1"/>
    <row r="523" ht="3" customHeight="1"/>
    <row r="524" ht="3" customHeight="1"/>
    <row r="525" ht="3" customHeight="1"/>
    <row r="526" ht="3" customHeight="1"/>
    <row r="527" ht="3" customHeight="1"/>
    <row r="528" ht="3" customHeight="1"/>
    <row r="529" ht="3" customHeight="1"/>
    <row r="530" ht="3" customHeight="1"/>
    <row r="531" ht="3" customHeight="1"/>
    <row r="532" ht="3" customHeight="1"/>
    <row r="533" ht="3" customHeight="1"/>
    <row r="534" ht="3" customHeight="1"/>
    <row r="535" ht="3" customHeight="1"/>
    <row r="536" ht="3" customHeight="1"/>
    <row r="537" ht="3" customHeight="1"/>
    <row r="538" ht="3" customHeight="1"/>
    <row r="539" ht="3" customHeight="1"/>
    <row r="540" ht="3" customHeight="1"/>
    <row r="541" ht="3" customHeight="1"/>
    <row r="542" ht="3" customHeight="1"/>
    <row r="543" ht="3" customHeight="1"/>
    <row r="544" ht="3" customHeight="1"/>
    <row r="545" ht="3" customHeight="1"/>
    <row r="546" ht="3" customHeight="1"/>
    <row r="547" ht="3" customHeight="1"/>
    <row r="548" ht="3" customHeight="1"/>
    <row r="549" ht="3" customHeight="1"/>
    <row r="550" ht="3" customHeight="1"/>
    <row r="551" ht="3" customHeight="1"/>
    <row r="552" ht="3" customHeight="1"/>
    <row r="553" ht="3" customHeight="1"/>
    <row r="554" ht="3" customHeight="1"/>
    <row r="555" ht="3" customHeight="1"/>
    <row r="556" ht="3" customHeight="1"/>
    <row r="557" ht="3" customHeight="1"/>
    <row r="558" ht="3" customHeight="1"/>
    <row r="559" ht="3" customHeight="1"/>
    <row r="560" ht="3" customHeight="1"/>
    <row r="561" ht="3" customHeight="1"/>
    <row r="562" ht="3" customHeight="1"/>
    <row r="563" ht="3" customHeight="1"/>
    <row r="564" ht="3" customHeight="1"/>
    <row r="565" ht="3" customHeight="1"/>
    <row r="566" ht="3" customHeight="1"/>
    <row r="567" ht="3" customHeight="1"/>
    <row r="568" ht="3" customHeight="1"/>
    <row r="569" ht="3" customHeight="1"/>
    <row r="570" ht="3" customHeight="1"/>
    <row r="571" ht="3" customHeight="1"/>
    <row r="572" ht="3" customHeight="1"/>
    <row r="573" ht="3" customHeight="1"/>
    <row r="574" ht="3" customHeight="1"/>
    <row r="575" ht="3" customHeight="1"/>
    <row r="576" ht="3" customHeight="1"/>
    <row r="577" ht="3" customHeight="1"/>
    <row r="578" ht="3" customHeight="1"/>
    <row r="579" ht="3" customHeight="1"/>
    <row r="580" ht="3" customHeight="1"/>
    <row r="581" ht="3" customHeight="1"/>
    <row r="582" ht="3" customHeight="1"/>
    <row r="583" ht="3" customHeight="1"/>
    <row r="584" ht="3" customHeight="1"/>
    <row r="585" ht="3" customHeight="1"/>
    <row r="586" ht="3" customHeight="1"/>
    <row r="587" ht="3" customHeight="1"/>
    <row r="588" ht="3" customHeight="1"/>
    <row r="589" ht="3" customHeight="1"/>
    <row r="590" ht="3" customHeight="1"/>
    <row r="591" ht="3" customHeight="1"/>
    <row r="592" ht="3" customHeight="1"/>
    <row r="593" ht="3" customHeight="1"/>
    <row r="594" ht="3" customHeight="1"/>
    <row r="595" ht="3" customHeight="1"/>
    <row r="596" ht="3" customHeight="1"/>
    <row r="597" ht="3" customHeight="1"/>
    <row r="598" ht="3" customHeight="1"/>
    <row r="599" ht="3" customHeight="1"/>
    <row r="600" ht="3" customHeight="1"/>
    <row r="601" ht="3" customHeight="1"/>
    <row r="602" ht="3" customHeight="1"/>
    <row r="603" ht="3" customHeight="1"/>
    <row r="604" ht="3" customHeight="1"/>
    <row r="605" ht="3" customHeight="1"/>
    <row r="606" ht="3" customHeight="1"/>
    <row r="607" ht="3" customHeight="1"/>
    <row r="608" ht="3" customHeight="1"/>
    <row r="609" ht="3" customHeight="1"/>
    <row r="610" ht="3" customHeight="1"/>
    <row r="611" ht="3" customHeight="1"/>
    <row r="612" ht="3" customHeight="1"/>
    <row r="613" ht="3" customHeight="1"/>
    <row r="614" ht="3" customHeight="1"/>
    <row r="615" ht="3" customHeight="1"/>
    <row r="616" ht="3" customHeight="1"/>
    <row r="617" ht="3" customHeight="1"/>
    <row r="618" ht="3" customHeight="1"/>
    <row r="619" ht="3" customHeight="1"/>
    <row r="620" ht="3" customHeight="1"/>
    <row r="621" ht="3" customHeight="1"/>
    <row r="622" ht="3" customHeight="1"/>
    <row r="623" ht="3" customHeight="1"/>
    <row r="624" ht="3" customHeight="1"/>
    <row r="625" ht="3" customHeight="1"/>
    <row r="626" ht="3" customHeight="1"/>
    <row r="627" ht="3" customHeight="1"/>
    <row r="628" ht="3" customHeight="1"/>
    <row r="629" ht="3" customHeight="1"/>
    <row r="630" ht="3" customHeight="1"/>
    <row r="631" ht="3" customHeight="1"/>
    <row r="632" ht="3" customHeight="1"/>
    <row r="633" ht="3" customHeight="1"/>
    <row r="634" ht="3" customHeight="1"/>
    <row r="635" ht="3" customHeight="1"/>
    <row r="636" ht="3" customHeight="1"/>
    <row r="637" ht="3" customHeight="1"/>
    <row r="638" ht="3" customHeight="1"/>
    <row r="639" ht="3" customHeight="1"/>
    <row r="640" ht="3" customHeight="1"/>
    <row r="641" ht="3" customHeight="1"/>
    <row r="642" ht="3" customHeight="1"/>
    <row r="643" ht="3" customHeight="1"/>
    <row r="644" ht="3" customHeight="1"/>
    <row r="645" ht="3" customHeight="1"/>
    <row r="646" ht="3" customHeight="1"/>
    <row r="647" ht="3" customHeight="1"/>
    <row r="648" ht="3" customHeight="1"/>
    <row r="649" ht="3" customHeight="1"/>
    <row r="650" ht="3" customHeight="1"/>
    <row r="651" ht="3" customHeight="1"/>
    <row r="652" ht="3" customHeight="1"/>
    <row r="653" ht="3" customHeight="1"/>
    <row r="654" ht="3" customHeight="1"/>
    <row r="655" ht="3" customHeight="1"/>
    <row r="656" ht="3" customHeight="1"/>
    <row r="657" ht="3" customHeight="1"/>
    <row r="658" ht="3" customHeight="1"/>
    <row r="659" ht="3" customHeight="1"/>
    <row r="660" ht="3" customHeight="1"/>
    <row r="661" ht="3" customHeight="1"/>
    <row r="662" ht="3" customHeight="1"/>
    <row r="663" ht="3" customHeight="1"/>
    <row r="664" ht="3" customHeight="1"/>
    <row r="665" ht="3" customHeight="1"/>
    <row r="666" ht="3" customHeight="1"/>
    <row r="667" ht="3" customHeight="1"/>
    <row r="668" ht="3" customHeight="1"/>
    <row r="669" ht="3" customHeight="1"/>
    <row r="670" ht="3" customHeight="1"/>
    <row r="671" ht="3" customHeight="1"/>
    <row r="672" ht="3" customHeight="1"/>
    <row r="673" ht="3" customHeight="1"/>
    <row r="674" ht="3" customHeight="1"/>
    <row r="675" ht="3" customHeight="1"/>
    <row r="676" ht="3" customHeight="1"/>
    <row r="677" ht="3" customHeight="1"/>
    <row r="678" ht="3" customHeight="1"/>
    <row r="679" ht="3" customHeight="1"/>
    <row r="680" ht="3" customHeight="1"/>
    <row r="681" ht="3" customHeight="1"/>
    <row r="682" ht="3" customHeight="1"/>
    <row r="683" ht="3" customHeight="1"/>
    <row r="684" ht="3" customHeight="1"/>
    <row r="685" ht="3" customHeight="1"/>
    <row r="686" ht="3" customHeight="1"/>
    <row r="687" ht="3" customHeight="1"/>
    <row r="688" ht="3" customHeight="1"/>
    <row r="689" ht="3" customHeight="1"/>
    <row r="690" ht="3" customHeight="1"/>
    <row r="691" ht="3" customHeight="1"/>
    <row r="692" ht="3" customHeight="1"/>
    <row r="693" ht="3" customHeight="1"/>
    <row r="694" ht="3" customHeight="1"/>
    <row r="695" ht="3" customHeight="1"/>
    <row r="696" ht="3" customHeight="1"/>
    <row r="697" ht="3" customHeight="1"/>
    <row r="698" ht="3" customHeight="1"/>
    <row r="699" ht="3" customHeight="1"/>
    <row r="700" ht="3" customHeight="1"/>
    <row r="701" ht="3" customHeight="1"/>
    <row r="702" ht="3" customHeight="1"/>
    <row r="703" ht="3" customHeight="1"/>
    <row r="704" ht="3" customHeight="1"/>
    <row r="705" ht="3" customHeight="1"/>
    <row r="706" ht="3" customHeight="1"/>
    <row r="707" ht="3" customHeight="1"/>
    <row r="708" ht="3" customHeight="1"/>
    <row r="709" ht="3" customHeight="1"/>
    <row r="710" ht="3" customHeight="1"/>
    <row r="711" ht="3" customHeight="1"/>
    <row r="712" ht="3" customHeight="1"/>
    <row r="713" ht="3" customHeight="1"/>
    <row r="714" ht="3" customHeight="1"/>
    <row r="715" ht="3" customHeight="1"/>
    <row r="716" ht="3" customHeight="1"/>
    <row r="717" ht="3" customHeight="1"/>
    <row r="718" ht="3" customHeight="1"/>
    <row r="719" ht="3" customHeight="1"/>
    <row r="720" ht="3" customHeight="1"/>
    <row r="721" ht="3" customHeight="1"/>
    <row r="722" ht="3" customHeight="1"/>
    <row r="723" ht="3" customHeight="1"/>
    <row r="724" ht="3" customHeight="1"/>
    <row r="725" ht="3" customHeight="1"/>
    <row r="726" ht="3" customHeight="1"/>
    <row r="727" ht="3" customHeight="1"/>
    <row r="728" ht="3" customHeight="1"/>
    <row r="729" ht="3" customHeight="1"/>
    <row r="730" ht="3" customHeight="1"/>
    <row r="731" ht="3" customHeight="1"/>
    <row r="732" ht="3" customHeight="1"/>
    <row r="733" ht="3" customHeight="1"/>
    <row r="734" ht="3" customHeight="1"/>
    <row r="735" ht="3" customHeight="1"/>
    <row r="736" ht="3" customHeight="1"/>
    <row r="737" ht="3" customHeight="1"/>
    <row r="738" ht="3" customHeight="1"/>
    <row r="739" ht="3" customHeight="1"/>
    <row r="740" ht="3" customHeight="1"/>
    <row r="741" ht="3" customHeight="1"/>
    <row r="742" ht="3" customHeight="1"/>
    <row r="743" ht="3" customHeight="1"/>
    <row r="744" ht="3" customHeight="1"/>
    <row r="745" ht="3" customHeight="1"/>
    <row r="746" ht="3" customHeight="1"/>
    <row r="747" ht="3" customHeight="1"/>
    <row r="748" ht="3" customHeight="1"/>
    <row r="749" ht="3" customHeight="1"/>
    <row r="750" ht="3" customHeight="1"/>
    <row r="751" ht="3" customHeight="1"/>
    <row r="752" ht="3" customHeight="1"/>
    <row r="753" ht="3" customHeight="1"/>
    <row r="754" ht="3" customHeight="1"/>
    <row r="755" ht="3" customHeight="1"/>
    <row r="756" ht="3" customHeight="1"/>
    <row r="757" ht="3" customHeight="1"/>
    <row r="758" ht="3" customHeight="1"/>
    <row r="759" ht="3" customHeight="1"/>
    <row r="760" ht="3" customHeight="1"/>
    <row r="761" ht="3" customHeight="1"/>
    <row r="762" ht="3" customHeight="1"/>
    <row r="763" ht="3" customHeight="1"/>
    <row r="764" ht="3" customHeight="1"/>
    <row r="765" ht="3" customHeight="1"/>
    <row r="766" ht="3" customHeight="1"/>
    <row r="767" ht="3" customHeight="1"/>
    <row r="768" ht="3" customHeight="1"/>
    <row r="769" ht="3" customHeight="1"/>
    <row r="770" ht="3" customHeight="1"/>
    <row r="771" ht="3" customHeight="1"/>
    <row r="772" ht="3" customHeight="1"/>
    <row r="773" ht="3" customHeight="1"/>
    <row r="774" ht="3" customHeight="1"/>
    <row r="775" ht="3" customHeight="1"/>
    <row r="776" ht="3" customHeight="1"/>
    <row r="777" ht="3" customHeight="1"/>
    <row r="778" ht="3" customHeight="1"/>
    <row r="779" ht="3" customHeight="1"/>
    <row r="780" ht="3" customHeight="1"/>
    <row r="781" ht="3" customHeight="1"/>
    <row r="782" ht="3" customHeight="1"/>
    <row r="783" ht="3" customHeight="1"/>
    <row r="784" ht="3" customHeight="1"/>
    <row r="785" ht="3" customHeight="1"/>
    <row r="786" ht="3" customHeight="1"/>
    <row r="787" ht="3" customHeight="1"/>
    <row r="788" ht="3" customHeight="1"/>
    <row r="789" ht="3" customHeight="1"/>
    <row r="790" ht="3" customHeight="1"/>
    <row r="791" ht="3" customHeight="1"/>
    <row r="792" ht="3" customHeight="1"/>
    <row r="793" ht="3" customHeight="1"/>
    <row r="794" ht="3" customHeight="1"/>
    <row r="795" ht="3" customHeight="1"/>
    <row r="796" ht="3" customHeight="1"/>
    <row r="797" ht="3" customHeight="1"/>
    <row r="798" ht="3" customHeight="1"/>
    <row r="799" ht="3" customHeight="1"/>
    <row r="800" ht="3" customHeight="1"/>
    <row r="801" ht="3" customHeight="1"/>
    <row r="802" ht="3" customHeight="1"/>
    <row r="803" ht="3" customHeight="1"/>
    <row r="804" ht="3" customHeight="1"/>
    <row r="805" ht="3" customHeight="1"/>
    <row r="806" ht="3" customHeight="1"/>
    <row r="807" ht="3" customHeight="1"/>
    <row r="808" ht="3" customHeight="1"/>
    <row r="809" ht="3" customHeight="1"/>
    <row r="810" ht="3" customHeight="1"/>
    <row r="811" ht="3" customHeight="1"/>
    <row r="812" ht="3" customHeight="1"/>
    <row r="813" ht="3" customHeight="1"/>
    <row r="814" ht="3" customHeight="1"/>
    <row r="815" ht="3" customHeight="1"/>
    <row r="816" ht="3" customHeight="1"/>
    <row r="817" ht="3" customHeight="1"/>
    <row r="818" ht="3" customHeight="1"/>
    <row r="819" ht="3" customHeight="1"/>
    <row r="820" ht="3" customHeight="1"/>
    <row r="821" ht="3" customHeight="1"/>
    <row r="822" ht="3" customHeight="1"/>
    <row r="823" ht="3" customHeight="1"/>
    <row r="824" ht="3" customHeight="1"/>
    <row r="825" ht="3" customHeight="1"/>
    <row r="826" ht="3" customHeight="1"/>
    <row r="827" ht="3" customHeight="1"/>
    <row r="828" ht="3" customHeight="1"/>
    <row r="829" ht="3" customHeight="1"/>
    <row r="830" ht="3" customHeight="1"/>
    <row r="831" ht="3" customHeight="1"/>
    <row r="832" ht="3" customHeight="1"/>
    <row r="833" ht="3" customHeight="1"/>
    <row r="834" ht="3" customHeight="1"/>
    <row r="835" ht="3" customHeight="1"/>
    <row r="836" ht="3" customHeight="1"/>
    <row r="837" ht="3" customHeight="1"/>
    <row r="838" ht="3" customHeight="1"/>
    <row r="839" ht="3" customHeight="1"/>
    <row r="840" ht="3" customHeight="1"/>
    <row r="841" ht="3" customHeight="1"/>
    <row r="842" ht="3" customHeight="1"/>
    <row r="843" ht="3" customHeight="1"/>
    <row r="844" ht="3" customHeight="1"/>
    <row r="845" ht="3" customHeight="1"/>
    <row r="846" ht="3" customHeight="1"/>
    <row r="847" ht="3" customHeight="1"/>
    <row r="848" ht="3" customHeight="1"/>
    <row r="849" ht="3" customHeight="1"/>
    <row r="850" ht="3" customHeight="1"/>
    <row r="851" ht="3" customHeight="1"/>
    <row r="852" ht="3" customHeight="1"/>
    <row r="853" ht="3" customHeight="1"/>
    <row r="854" ht="3" customHeight="1"/>
    <row r="855" ht="3" customHeight="1"/>
    <row r="856" ht="3" customHeight="1"/>
    <row r="857" ht="3" customHeight="1"/>
    <row r="858" ht="3" customHeight="1"/>
    <row r="859" ht="3" customHeight="1"/>
    <row r="860" ht="3" customHeight="1"/>
    <row r="861" ht="3" customHeight="1"/>
    <row r="862" ht="3" customHeight="1"/>
    <row r="863" ht="3" customHeight="1"/>
    <row r="864" ht="3" customHeight="1"/>
    <row r="865" ht="3" customHeight="1"/>
    <row r="866" ht="3" customHeight="1"/>
    <row r="867" ht="3" customHeight="1"/>
    <row r="868" ht="3" customHeight="1"/>
    <row r="869" ht="3" customHeight="1"/>
    <row r="870" ht="3" customHeight="1"/>
    <row r="871" ht="3" customHeight="1"/>
    <row r="872" ht="3" customHeight="1"/>
    <row r="873" ht="3" customHeight="1"/>
    <row r="874" ht="3" customHeight="1"/>
    <row r="875" ht="3" customHeight="1"/>
    <row r="876" ht="3" customHeight="1"/>
    <row r="877" ht="3" customHeight="1"/>
    <row r="878" ht="3" customHeight="1"/>
    <row r="879" ht="3" customHeight="1"/>
    <row r="880" ht="3" customHeight="1"/>
    <row r="881" ht="3" customHeight="1"/>
    <row r="882" ht="3" customHeight="1"/>
    <row r="883" ht="3" customHeight="1"/>
    <row r="884" ht="3" customHeight="1"/>
    <row r="885" ht="3" customHeight="1"/>
    <row r="886" ht="3" customHeight="1"/>
    <row r="887" ht="3" customHeight="1"/>
    <row r="888" ht="3" customHeight="1"/>
    <row r="889" ht="3" customHeight="1"/>
    <row r="890" ht="3" customHeight="1"/>
    <row r="891" ht="3" customHeight="1"/>
    <row r="892" ht="3" customHeight="1"/>
    <row r="893" ht="3" customHeight="1"/>
    <row r="894" ht="3" customHeight="1"/>
    <row r="895" ht="3" customHeight="1"/>
    <row r="896" ht="3" customHeight="1"/>
    <row r="897" ht="3" customHeight="1"/>
    <row r="898" ht="3" customHeight="1"/>
    <row r="899" ht="3" customHeight="1"/>
    <row r="900" ht="3" customHeight="1"/>
    <row r="901" ht="3" customHeight="1"/>
    <row r="902" ht="3" customHeight="1"/>
    <row r="903" ht="3" customHeight="1"/>
    <row r="904" ht="3" customHeight="1"/>
    <row r="905" ht="3" customHeight="1"/>
    <row r="906" ht="3" customHeight="1"/>
    <row r="907" ht="3" customHeight="1"/>
    <row r="908" ht="3" customHeight="1"/>
    <row r="909" ht="3" customHeight="1"/>
    <row r="910" ht="3" customHeight="1"/>
    <row r="911" ht="3" customHeight="1"/>
    <row r="912" ht="3" customHeight="1"/>
    <row r="913" ht="3" customHeight="1"/>
    <row r="914" ht="3" customHeight="1"/>
    <row r="915" ht="3" customHeight="1"/>
    <row r="916" ht="3" customHeight="1"/>
    <row r="917" ht="3" customHeight="1"/>
    <row r="918" ht="3" customHeight="1"/>
    <row r="919" ht="3" customHeight="1"/>
    <row r="920" ht="3" customHeight="1"/>
    <row r="921" ht="3" customHeight="1"/>
    <row r="922" ht="3" customHeight="1"/>
    <row r="923" ht="3" customHeight="1"/>
    <row r="924" ht="3" customHeight="1"/>
    <row r="925" ht="3" customHeight="1"/>
    <row r="926" ht="3" customHeight="1"/>
    <row r="927" ht="3" customHeight="1"/>
    <row r="928" ht="3" customHeight="1"/>
    <row r="929" ht="3" customHeight="1"/>
    <row r="930" ht="3" customHeight="1"/>
    <row r="931" ht="3" customHeight="1"/>
    <row r="932" ht="3" customHeight="1"/>
    <row r="933" ht="3" customHeight="1"/>
    <row r="934" ht="3" customHeight="1"/>
    <row r="935" ht="3" customHeight="1"/>
    <row r="936" ht="3" customHeight="1"/>
    <row r="937" ht="3" customHeight="1"/>
    <row r="938" ht="3" customHeight="1"/>
    <row r="939" ht="3" customHeight="1"/>
    <row r="940" ht="3" customHeight="1"/>
    <row r="941" ht="3" customHeight="1"/>
    <row r="942" ht="3" customHeight="1"/>
    <row r="943" ht="3" customHeight="1"/>
    <row r="944" ht="3" customHeight="1"/>
    <row r="945" ht="3" customHeight="1"/>
    <row r="946" ht="3" customHeight="1"/>
    <row r="947" ht="3" customHeight="1"/>
    <row r="948" ht="3" customHeight="1"/>
    <row r="949" ht="3" customHeight="1"/>
    <row r="950" ht="3" customHeight="1"/>
    <row r="951" ht="3" customHeight="1"/>
    <row r="952" ht="3" customHeight="1"/>
    <row r="953" ht="3" customHeight="1"/>
    <row r="954" ht="3" customHeight="1"/>
    <row r="955" ht="3" customHeight="1"/>
    <row r="956" ht="3" customHeight="1"/>
    <row r="957" ht="3" customHeight="1"/>
    <row r="958" ht="3" customHeight="1"/>
    <row r="959" ht="3" customHeight="1"/>
    <row r="960" ht="3" customHeight="1"/>
    <row r="961" ht="3" customHeight="1"/>
    <row r="962" ht="3" customHeight="1"/>
    <row r="963" ht="3" customHeight="1"/>
    <row r="964" ht="3" customHeight="1"/>
    <row r="965" ht="3" customHeight="1"/>
    <row r="966" ht="3" customHeight="1"/>
    <row r="967" ht="3" customHeight="1"/>
    <row r="968" ht="3" customHeight="1"/>
    <row r="969" ht="3" customHeight="1"/>
    <row r="970" ht="3" customHeight="1"/>
    <row r="971" ht="3" customHeight="1"/>
    <row r="972" ht="3" customHeight="1"/>
    <row r="973" ht="3" customHeight="1"/>
    <row r="974" ht="3" customHeight="1"/>
    <row r="975" ht="3" customHeight="1"/>
    <row r="976" ht="3" customHeight="1"/>
    <row r="977" ht="3" customHeight="1"/>
    <row r="978" ht="3" customHeight="1"/>
    <row r="979" ht="3" customHeight="1"/>
    <row r="980" ht="3" customHeight="1"/>
    <row r="981" ht="3" customHeight="1"/>
    <row r="982" ht="3" customHeight="1"/>
    <row r="983" ht="3" customHeight="1"/>
    <row r="984" ht="3" customHeight="1"/>
    <row r="985" ht="3" customHeight="1"/>
    <row r="986" ht="3" customHeight="1"/>
    <row r="987" ht="3" customHeight="1"/>
    <row r="988" ht="3" customHeight="1"/>
    <row r="989" ht="3" customHeight="1"/>
    <row r="990" ht="3" customHeight="1"/>
    <row r="991" ht="3" customHeight="1"/>
    <row r="992" ht="3" customHeight="1"/>
    <row r="993" ht="3" customHeight="1"/>
    <row r="994" ht="3" customHeight="1"/>
    <row r="995" ht="3" customHeight="1"/>
    <row r="996" ht="3" customHeight="1"/>
    <row r="997" ht="3" customHeight="1"/>
    <row r="998" ht="3" customHeight="1"/>
    <row r="999" ht="3" customHeight="1"/>
    <row r="1000" ht="3" customHeight="1"/>
    <row r="1001" ht="3" customHeight="1"/>
    <row r="1002" ht="3" customHeight="1"/>
    <row r="1003" ht="3" customHeight="1"/>
    <row r="1004" ht="3" customHeight="1"/>
    <row r="1005" ht="3" customHeight="1"/>
    <row r="1006" ht="3" customHeight="1"/>
    <row r="1007" ht="3" customHeight="1"/>
    <row r="1008" ht="3" customHeight="1"/>
    <row r="1009" ht="3" customHeight="1"/>
    <row r="1010" ht="3" customHeight="1"/>
    <row r="1011" ht="3" customHeight="1"/>
    <row r="1012" ht="3" customHeight="1"/>
    <row r="1013" ht="3" customHeight="1"/>
    <row r="1014" ht="3" customHeight="1"/>
    <row r="1015" ht="3" customHeight="1"/>
    <row r="1016" ht="3" customHeight="1"/>
    <row r="1017" ht="3" customHeight="1"/>
    <row r="1018" ht="3" customHeight="1"/>
    <row r="1019" ht="3" customHeight="1"/>
    <row r="1020" ht="3" customHeight="1"/>
    <row r="1021" ht="3" customHeight="1"/>
    <row r="1022" ht="3" customHeight="1"/>
    <row r="1023" ht="3" customHeight="1"/>
    <row r="1024" ht="3" customHeight="1"/>
    <row r="1025" ht="3" customHeight="1"/>
    <row r="1026" ht="3" customHeight="1"/>
    <row r="1027" ht="3" customHeight="1"/>
    <row r="1028" ht="3" customHeight="1"/>
    <row r="1029" ht="3" customHeight="1"/>
    <row r="1030" ht="3" customHeight="1"/>
    <row r="1031" ht="3" customHeight="1"/>
    <row r="1032" ht="3" customHeight="1"/>
    <row r="1033" ht="3" customHeight="1"/>
    <row r="1034" ht="3" customHeight="1"/>
    <row r="1035" ht="3" customHeight="1"/>
    <row r="1036" ht="3" customHeight="1"/>
    <row r="1037" ht="3" customHeight="1"/>
    <row r="1038" ht="3" customHeight="1"/>
    <row r="1039" ht="3" customHeight="1"/>
    <row r="1040" ht="3" customHeight="1"/>
    <row r="1041" ht="3" customHeight="1"/>
    <row r="1042" ht="3" customHeight="1"/>
    <row r="1043" ht="3" customHeight="1"/>
    <row r="1044" ht="3" customHeight="1"/>
    <row r="1045" ht="3" customHeight="1"/>
    <row r="1046" ht="3" customHeight="1"/>
    <row r="1047" ht="3" customHeight="1"/>
    <row r="1048" ht="3" customHeight="1"/>
    <row r="1049" ht="3" customHeight="1"/>
    <row r="1050" ht="3" customHeight="1"/>
    <row r="1051" ht="3" customHeight="1"/>
    <row r="1052" ht="3" customHeight="1"/>
    <row r="1053" ht="3" customHeight="1"/>
    <row r="1054" ht="3" customHeight="1"/>
    <row r="1055" ht="3" customHeight="1"/>
    <row r="1056" ht="3" customHeight="1"/>
    <row r="1057" ht="3" customHeight="1"/>
    <row r="1058" ht="3" customHeight="1"/>
    <row r="1059" ht="3" customHeight="1"/>
    <row r="1060" ht="3" customHeight="1"/>
    <row r="1061" ht="3" customHeight="1"/>
    <row r="1062" ht="3" customHeight="1"/>
    <row r="1063" ht="3" customHeight="1"/>
    <row r="1064" ht="3" customHeight="1"/>
    <row r="1065" ht="3" customHeight="1"/>
    <row r="1066" ht="3" customHeight="1"/>
    <row r="1067" ht="3" customHeight="1"/>
    <row r="1068" ht="3" customHeight="1"/>
    <row r="1069" ht="3" customHeight="1"/>
    <row r="1070" ht="3" customHeight="1"/>
    <row r="1071" ht="3" customHeight="1"/>
    <row r="1072" ht="3" customHeight="1"/>
    <row r="1073" ht="3" customHeight="1"/>
    <row r="1074" ht="3" customHeight="1"/>
    <row r="1075" ht="3" customHeight="1"/>
    <row r="1076" ht="3" customHeight="1"/>
    <row r="1077" ht="3" customHeight="1"/>
    <row r="1078" ht="3" customHeight="1"/>
    <row r="1079" ht="3" customHeight="1"/>
    <row r="1080" ht="3" customHeight="1"/>
    <row r="1081" ht="3" customHeight="1"/>
    <row r="1082" ht="3" customHeight="1"/>
    <row r="1083" ht="3" customHeight="1"/>
    <row r="1084" ht="3" customHeight="1"/>
    <row r="1085" ht="3" customHeight="1"/>
    <row r="1086" ht="3" customHeight="1"/>
    <row r="1087" ht="3" customHeight="1"/>
    <row r="1088" ht="3" customHeight="1"/>
    <row r="1089" ht="3" customHeight="1"/>
    <row r="1090" ht="3" customHeight="1"/>
    <row r="1091" ht="3" customHeight="1"/>
    <row r="1092" ht="3" customHeight="1"/>
    <row r="1093" ht="3" customHeight="1"/>
    <row r="1094" ht="3" customHeight="1"/>
    <row r="1095" ht="3" customHeight="1"/>
    <row r="1096" ht="3" customHeight="1"/>
    <row r="1097" ht="3" customHeight="1"/>
    <row r="1098" ht="3" customHeight="1"/>
    <row r="1099" ht="3" customHeight="1"/>
    <row r="1100" ht="3" customHeight="1"/>
    <row r="1101" ht="3" customHeight="1"/>
    <row r="1102" ht="3" customHeight="1"/>
    <row r="1103" ht="3" customHeight="1"/>
    <row r="1104" ht="3" customHeight="1"/>
    <row r="1105" ht="3" customHeight="1"/>
    <row r="1106" ht="3" customHeight="1"/>
    <row r="1107" ht="3" customHeight="1"/>
    <row r="1108" ht="3" customHeight="1"/>
    <row r="1109" ht="3" customHeight="1"/>
    <row r="1110" ht="3" customHeight="1"/>
    <row r="1111" ht="3" customHeight="1"/>
    <row r="1112" ht="3" customHeight="1"/>
    <row r="1113" ht="3" customHeight="1"/>
    <row r="1114" ht="3" customHeight="1"/>
    <row r="1115" ht="3" customHeight="1"/>
    <row r="1116" ht="3" customHeight="1"/>
    <row r="1117" ht="3" customHeight="1"/>
    <row r="1118" ht="3" customHeight="1"/>
    <row r="1119" ht="3" customHeight="1"/>
    <row r="1120" ht="3" customHeight="1"/>
    <row r="1121" ht="3" customHeight="1"/>
    <row r="1122" ht="3" customHeight="1"/>
    <row r="1123" ht="3" customHeight="1"/>
    <row r="1124" ht="3" customHeight="1"/>
    <row r="1125" ht="3" customHeight="1"/>
    <row r="1126" ht="3" customHeight="1"/>
    <row r="1127" ht="3" customHeight="1"/>
    <row r="1128" ht="3" customHeight="1"/>
    <row r="1129" ht="3" customHeight="1"/>
    <row r="1130" ht="3" customHeight="1"/>
    <row r="1131" ht="3" customHeight="1"/>
    <row r="1132" ht="3" customHeight="1"/>
    <row r="1133" ht="3" customHeight="1"/>
    <row r="1134" ht="3" customHeight="1"/>
    <row r="1135" ht="3" customHeight="1"/>
    <row r="1136" ht="3" customHeight="1"/>
    <row r="1137" ht="3" customHeight="1"/>
    <row r="1138" ht="3" customHeight="1"/>
    <row r="1139" ht="3" customHeight="1"/>
    <row r="1140" ht="3" customHeight="1"/>
    <row r="1141" ht="3" customHeight="1"/>
    <row r="1142" ht="3" customHeight="1"/>
    <row r="1143" ht="3" customHeight="1"/>
    <row r="1144" ht="3" customHeight="1"/>
    <row r="1145" ht="3" customHeight="1"/>
    <row r="1146" ht="3" customHeight="1"/>
    <row r="1147" ht="3" customHeight="1"/>
    <row r="1148" ht="3" customHeight="1"/>
    <row r="1149" ht="3" customHeight="1"/>
    <row r="1150" ht="3" customHeight="1"/>
    <row r="1151" ht="3" customHeight="1"/>
    <row r="1152" ht="3" customHeight="1"/>
    <row r="1153" ht="3" customHeight="1"/>
    <row r="1154" ht="3" customHeight="1"/>
    <row r="1155" ht="3" customHeight="1"/>
    <row r="1156" ht="3" customHeight="1"/>
    <row r="1157" ht="3" customHeight="1"/>
    <row r="1158" ht="3" customHeight="1"/>
    <row r="1159" ht="3" customHeight="1"/>
    <row r="1160" ht="3" customHeight="1"/>
    <row r="1161" ht="3" customHeight="1"/>
    <row r="1162" ht="3" customHeight="1"/>
    <row r="1163" ht="3" customHeight="1"/>
    <row r="1164" ht="3" customHeight="1"/>
    <row r="1165" ht="3" customHeight="1"/>
    <row r="1166" ht="3" customHeight="1"/>
    <row r="1167" ht="3" customHeight="1"/>
    <row r="1168" ht="3" customHeight="1"/>
    <row r="1169" ht="3" customHeight="1"/>
    <row r="1170" ht="3" customHeight="1"/>
    <row r="1171" ht="3" customHeight="1"/>
    <row r="1172" ht="3" customHeight="1"/>
    <row r="1173" ht="3" customHeight="1"/>
    <row r="1174" ht="3" customHeight="1"/>
    <row r="1175" ht="3" customHeight="1"/>
    <row r="1176" ht="3" customHeight="1"/>
    <row r="1177" ht="3" customHeight="1"/>
    <row r="1178" ht="3" customHeight="1"/>
    <row r="1179" ht="3" customHeight="1"/>
    <row r="1180" ht="3" customHeight="1"/>
    <row r="1181" ht="3" customHeight="1"/>
    <row r="1182" ht="3" customHeight="1"/>
    <row r="1183" ht="3" customHeight="1"/>
    <row r="1184" ht="3" customHeight="1"/>
    <row r="1185" ht="3" customHeight="1"/>
    <row r="1186" ht="3" customHeight="1"/>
    <row r="1187" ht="3" customHeight="1"/>
    <row r="1188" ht="3" customHeight="1"/>
    <row r="1189" ht="3" customHeight="1"/>
    <row r="1190" ht="3" customHeight="1"/>
    <row r="1191" ht="3" customHeight="1"/>
    <row r="1192" ht="3" customHeight="1"/>
    <row r="1193" ht="3" customHeight="1"/>
    <row r="1194" ht="3" customHeight="1"/>
    <row r="1195" ht="3" customHeight="1"/>
    <row r="1196" ht="3" customHeight="1"/>
    <row r="1197" ht="3" customHeight="1"/>
    <row r="1198" ht="3" customHeight="1"/>
    <row r="1199" ht="3" customHeight="1"/>
    <row r="1200" ht="3" customHeight="1"/>
    <row r="1201" ht="3" customHeight="1"/>
    <row r="1202" ht="3" customHeight="1"/>
    <row r="1203" ht="3" customHeight="1"/>
    <row r="1204" ht="3" customHeight="1"/>
    <row r="1205" ht="3" customHeight="1"/>
    <row r="1206" ht="3" customHeight="1"/>
    <row r="1207" ht="3" customHeight="1"/>
    <row r="1208" ht="3" customHeight="1"/>
    <row r="1209" ht="3" customHeight="1"/>
    <row r="1210" ht="3" customHeight="1"/>
    <row r="1211" ht="3" customHeight="1"/>
    <row r="1212" ht="3" customHeight="1"/>
    <row r="1213" ht="3" customHeight="1"/>
    <row r="1214" ht="3" customHeight="1"/>
    <row r="1215" ht="3" customHeight="1"/>
    <row r="1216" ht="3" customHeight="1"/>
    <row r="1217" ht="3" customHeight="1"/>
    <row r="1218" ht="3" customHeight="1"/>
    <row r="1219" ht="3" customHeight="1"/>
    <row r="1220" ht="3" customHeight="1"/>
    <row r="1221" ht="3" customHeight="1"/>
    <row r="1222" ht="3" customHeight="1"/>
    <row r="1223" ht="3" customHeight="1"/>
    <row r="1224" ht="3" customHeight="1"/>
    <row r="1225" ht="3" customHeight="1"/>
    <row r="1226" ht="3" customHeight="1"/>
    <row r="1227" ht="3" customHeight="1"/>
    <row r="1228" ht="3" customHeight="1"/>
    <row r="1229" ht="3" customHeight="1"/>
    <row r="1230" ht="3" customHeight="1"/>
    <row r="1231" ht="3" customHeight="1"/>
    <row r="1232" ht="3" customHeight="1"/>
    <row r="1233" ht="3" customHeight="1"/>
    <row r="1234" ht="3" customHeight="1"/>
    <row r="1235" ht="3" customHeight="1"/>
    <row r="1236" ht="3" customHeight="1"/>
    <row r="1237" ht="3" customHeight="1"/>
    <row r="1238" ht="3" customHeight="1"/>
    <row r="1239" ht="3" customHeight="1"/>
    <row r="1240" ht="3" customHeight="1"/>
    <row r="1241" ht="3" customHeight="1"/>
    <row r="1242" ht="3" customHeight="1"/>
    <row r="1243" ht="3" customHeight="1"/>
    <row r="1244" ht="3" customHeight="1"/>
    <row r="1245" ht="3" customHeight="1"/>
    <row r="1246" ht="3" customHeight="1"/>
    <row r="1247" ht="3" customHeight="1"/>
    <row r="1248" ht="3" customHeight="1"/>
    <row r="1249" ht="3" customHeight="1"/>
    <row r="1250" ht="3" customHeight="1"/>
    <row r="1251" ht="3" customHeight="1"/>
    <row r="1252" ht="3" customHeight="1"/>
    <row r="1253" ht="3" customHeight="1"/>
    <row r="1254" ht="3" customHeight="1"/>
    <row r="1255" ht="3" customHeight="1"/>
    <row r="1256" ht="3" customHeight="1"/>
    <row r="1257" ht="3" customHeight="1"/>
    <row r="1258" ht="3" customHeight="1"/>
    <row r="1259" ht="3" customHeight="1"/>
    <row r="1260" ht="3" customHeight="1"/>
    <row r="1261" ht="3" customHeight="1"/>
    <row r="1262" ht="3" customHeight="1"/>
    <row r="1263" ht="3" customHeight="1"/>
    <row r="1264" ht="3" customHeight="1"/>
    <row r="1265" ht="3" customHeight="1"/>
    <row r="1266" ht="3" customHeight="1"/>
    <row r="1267" ht="3" customHeight="1"/>
    <row r="1268" ht="3" customHeight="1"/>
    <row r="1269" ht="3" customHeight="1"/>
    <row r="1270" ht="3" customHeight="1"/>
    <row r="1271" ht="3" customHeight="1"/>
    <row r="1272" ht="3" customHeight="1"/>
    <row r="1273" ht="3" customHeight="1"/>
    <row r="1274" ht="3" customHeight="1"/>
    <row r="1275" ht="3" customHeight="1"/>
    <row r="1276" ht="3" customHeight="1"/>
    <row r="1277" ht="3" customHeight="1"/>
    <row r="1278" ht="3" customHeight="1"/>
    <row r="1279" ht="3" customHeight="1"/>
    <row r="1280" ht="3" customHeight="1"/>
    <row r="1281" ht="3" customHeight="1"/>
    <row r="1282" ht="3" customHeight="1"/>
    <row r="1283" ht="3" customHeight="1"/>
    <row r="1284" ht="3" customHeight="1"/>
    <row r="1285" ht="3" customHeight="1"/>
    <row r="1286" ht="3" customHeight="1"/>
    <row r="1287" ht="3" customHeight="1"/>
    <row r="1288" ht="3" customHeight="1"/>
    <row r="1289" ht="3" customHeight="1"/>
    <row r="1290" ht="3" customHeight="1"/>
    <row r="1291" ht="3" customHeight="1"/>
    <row r="1292" ht="3" customHeight="1"/>
    <row r="1293" ht="3" customHeight="1"/>
    <row r="1294" ht="3" customHeight="1"/>
    <row r="1295" ht="3" customHeight="1"/>
    <row r="1296" ht="3" customHeight="1"/>
    <row r="1297" ht="3" customHeight="1"/>
    <row r="1298" ht="3" customHeight="1"/>
    <row r="1299" ht="3" customHeight="1"/>
    <row r="1300" ht="3" customHeight="1"/>
    <row r="1301" ht="3" customHeight="1"/>
    <row r="1302" ht="3" customHeight="1"/>
    <row r="1303" ht="3" customHeight="1"/>
    <row r="1304" ht="3" customHeight="1"/>
    <row r="1305" ht="3" customHeight="1"/>
    <row r="1306" ht="3" customHeight="1"/>
    <row r="1307" ht="3" customHeight="1"/>
    <row r="1308" ht="3" customHeight="1"/>
    <row r="1309" ht="3" customHeight="1"/>
    <row r="1310" ht="3" customHeight="1"/>
    <row r="1311" ht="3" customHeight="1"/>
    <row r="1312" ht="3" customHeight="1"/>
    <row r="1313" ht="3" customHeight="1"/>
    <row r="1314" ht="3" customHeight="1"/>
    <row r="1315" ht="3" customHeight="1"/>
    <row r="1316" ht="3" customHeight="1"/>
    <row r="1317" ht="3" customHeight="1"/>
    <row r="1318" ht="3" customHeight="1"/>
    <row r="1319" ht="3" customHeight="1"/>
    <row r="1320" ht="3" customHeight="1"/>
    <row r="1321" ht="3" customHeight="1"/>
    <row r="1322" ht="3" customHeight="1"/>
    <row r="1323" ht="3" customHeight="1"/>
    <row r="1324" ht="3" customHeight="1"/>
    <row r="1325" ht="3" customHeight="1"/>
    <row r="1326" ht="3" customHeight="1"/>
    <row r="1327" ht="3" customHeight="1"/>
    <row r="1328" ht="3" customHeight="1"/>
    <row r="1329" ht="3" customHeight="1"/>
    <row r="1330" ht="3" customHeight="1"/>
    <row r="1331" ht="3" customHeight="1"/>
    <row r="1332" ht="3" customHeight="1"/>
    <row r="1333" ht="3" customHeight="1"/>
    <row r="1334" ht="3" customHeight="1"/>
    <row r="1335" ht="3" customHeight="1"/>
    <row r="1336" ht="3" customHeight="1"/>
    <row r="1337" ht="3" customHeight="1"/>
    <row r="1338" ht="3" customHeight="1"/>
    <row r="1339" ht="3" customHeight="1"/>
    <row r="1340" ht="3" customHeight="1"/>
    <row r="1341" ht="3" customHeight="1"/>
    <row r="1342" ht="3" customHeight="1"/>
    <row r="1343" ht="3" customHeight="1"/>
    <row r="1344" ht="3" customHeight="1"/>
    <row r="1345" ht="3" customHeight="1"/>
    <row r="1346" ht="3" customHeight="1"/>
    <row r="1347" ht="3" customHeight="1"/>
    <row r="1348" ht="3" customHeight="1"/>
    <row r="1349" ht="3" customHeight="1"/>
    <row r="1350" ht="3" customHeight="1"/>
    <row r="1351" ht="3" customHeight="1"/>
    <row r="1352" ht="3" customHeight="1"/>
    <row r="1353" ht="3" customHeight="1"/>
    <row r="1354" ht="3" customHeight="1"/>
    <row r="1355" ht="3" customHeight="1"/>
    <row r="1356" ht="3" customHeight="1"/>
    <row r="1357" ht="3" customHeight="1"/>
    <row r="1358" ht="3" customHeight="1"/>
    <row r="1359" ht="3" customHeight="1"/>
    <row r="1360" ht="3" customHeight="1"/>
    <row r="1361" ht="3" customHeight="1"/>
    <row r="1362" ht="3" customHeight="1"/>
    <row r="1363" ht="3" customHeight="1"/>
    <row r="1364" ht="3" customHeight="1"/>
    <row r="1365" ht="3" customHeight="1"/>
    <row r="1366" ht="3" customHeight="1"/>
    <row r="1367" ht="3" customHeight="1"/>
    <row r="1368" ht="3" customHeight="1"/>
    <row r="1369" ht="3" customHeight="1"/>
    <row r="1370" ht="3" customHeight="1"/>
    <row r="1371" ht="3" customHeight="1"/>
    <row r="1372" ht="3" customHeight="1"/>
    <row r="1373" ht="3" customHeight="1"/>
    <row r="1374" ht="3" customHeight="1"/>
    <row r="1375" ht="3" customHeight="1"/>
    <row r="1376" ht="3" customHeight="1"/>
    <row r="1377" ht="3" customHeight="1"/>
    <row r="1378" ht="3" customHeight="1"/>
    <row r="1379" ht="3" customHeight="1"/>
    <row r="1380" ht="3" customHeight="1"/>
    <row r="1381" ht="3" customHeight="1"/>
    <row r="1382" ht="3" customHeight="1"/>
    <row r="1383" ht="3" customHeight="1"/>
    <row r="1384" ht="3" customHeight="1"/>
    <row r="1385" ht="3" customHeight="1"/>
    <row r="1386" ht="3" customHeight="1"/>
    <row r="1387" ht="3" customHeight="1"/>
    <row r="1388" ht="3" customHeight="1"/>
    <row r="1389" ht="3" customHeight="1"/>
    <row r="1390" ht="3" customHeight="1"/>
    <row r="1391" ht="3" customHeight="1"/>
    <row r="1392" ht="3" customHeight="1"/>
    <row r="1393" ht="3" customHeight="1"/>
    <row r="1394" ht="3" customHeight="1"/>
    <row r="1395" ht="3" customHeight="1"/>
    <row r="1396" ht="3" customHeight="1"/>
    <row r="1397" ht="3" customHeight="1"/>
    <row r="1398" ht="3" customHeight="1"/>
    <row r="1399" ht="3" customHeight="1"/>
    <row r="1400" ht="3" customHeight="1"/>
    <row r="1401" ht="3" customHeight="1"/>
    <row r="1402" ht="3" customHeight="1"/>
    <row r="1403" ht="3" customHeight="1"/>
    <row r="1404" ht="3" customHeight="1"/>
    <row r="1405" ht="3" customHeight="1"/>
    <row r="1406" ht="3" customHeight="1"/>
    <row r="1407" ht="3" customHeight="1"/>
    <row r="1408" ht="3" customHeight="1"/>
    <row r="1409" ht="3" customHeight="1"/>
    <row r="1410" ht="3" customHeight="1"/>
    <row r="1411" ht="3" customHeight="1"/>
    <row r="1412" ht="3" customHeight="1"/>
    <row r="1413" ht="3" customHeight="1"/>
    <row r="1414" ht="3" customHeight="1"/>
    <row r="1415" ht="3" customHeight="1"/>
    <row r="1416" ht="3" customHeight="1"/>
    <row r="1417" ht="3" customHeight="1"/>
    <row r="1418" ht="3" customHeight="1"/>
    <row r="1419" ht="3" customHeight="1"/>
    <row r="1420" ht="3" customHeight="1"/>
    <row r="1421" ht="3" customHeight="1"/>
    <row r="1422" ht="3" customHeight="1"/>
    <row r="1423" ht="3" customHeight="1"/>
    <row r="1424" ht="3" customHeight="1"/>
    <row r="1425" ht="3" customHeight="1"/>
    <row r="1426" ht="3" customHeight="1"/>
    <row r="1427" ht="3" customHeight="1"/>
    <row r="1428" ht="3" customHeight="1"/>
    <row r="1429" ht="3" customHeight="1"/>
    <row r="1430" ht="3" customHeight="1"/>
    <row r="1431" ht="3" customHeight="1"/>
    <row r="1432" ht="3" customHeight="1"/>
    <row r="1433" ht="3" customHeight="1"/>
    <row r="1434" ht="3" customHeight="1"/>
    <row r="1435" ht="3" customHeight="1"/>
    <row r="1436" ht="3" customHeight="1"/>
    <row r="1437" ht="3" customHeight="1"/>
    <row r="1438" ht="3" customHeight="1"/>
    <row r="1439" ht="3" customHeight="1"/>
    <row r="1440" ht="3" customHeight="1"/>
    <row r="1441" ht="3" customHeight="1"/>
    <row r="1442" ht="3" customHeight="1"/>
    <row r="1443" ht="3" customHeight="1"/>
    <row r="1444" ht="3" customHeight="1"/>
    <row r="1445" ht="3" customHeight="1"/>
    <row r="1446" ht="3" customHeight="1"/>
    <row r="1447" ht="3" customHeight="1"/>
    <row r="1448" ht="3" customHeight="1"/>
    <row r="1449" ht="3" customHeight="1"/>
    <row r="1450" ht="3" customHeight="1"/>
    <row r="1451" ht="3" customHeight="1"/>
    <row r="1452" ht="3" customHeight="1"/>
    <row r="1453" ht="3" customHeight="1"/>
    <row r="1454" ht="3" customHeight="1"/>
    <row r="1455" ht="3" customHeight="1"/>
    <row r="1456" ht="3" customHeight="1"/>
    <row r="1457" ht="3" customHeight="1"/>
    <row r="1458" ht="3" customHeight="1"/>
    <row r="1459" ht="3" customHeight="1"/>
    <row r="1460" ht="3" customHeight="1"/>
    <row r="1461" ht="3" customHeight="1"/>
    <row r="1462" ht="3" customHeight="1"/>
    <row r="1463" ht="3" customHeight="1"/>
    <row r="1464" ht="3" customHeight="1"/>
    <row r="1465" ht="3" customHeight="1"/>
    <row r="1466" ht="3" customHeight="1"/>
    <row r="1467" ht="3" customHeight="1"/>
    <row r="1468" ht="3" customHeight="1"/>
    <row r="1469" ht="3" customHeight="1"/>
    <row r="1470" ht="3" customHeight="1"/>
    <row r="1471" ht="3" customHeight="1"/>
    <row r="1472" ht="3" customHeight="1"/>
    <row r="1473" ht="3" customHeight="1"/>
    <row r="1474" ht="3" customHeight="1"/>
    <row r="1475" ht="3" customHeight="1"/>
    <row r="1476" ht="3" customHeight="1"/>
    <row r="1477" ht="3" customHeight="1"/>
    <row r="1478" ht="3" customHeight="1"/>
    <row r="1479" ht="3" customHeight="1"/>
    <row r="1480" ht="3" customHeight="1"/>
    <row r="1481" ht="3" customHeight="1"/>
    <row r="1482" ht="3" customHeight="1"/>
    <row r="1483" ht="3" customHeight="1"/>
    <row r="1484" ht="3" customHeight="1"/>
    <row r="1485" ht="3" customHeight="1"/>
    <row r="1486" ht="3" customHeight="1"/>
    <row r="1487" ht="3" customHeight="1"/>
    <row r="1488" ht="3" customHeight="1"/>
    <row r="1489" ht="3" customHeight="1"/>
    <row r="1490" ht="3" customHeight="1"/>
    <row r="1491" ht="3" customHeight="1"/>
    <row r="1492" ht="3" customHeight="1"/>
    <row r="1493" ht="3" customHeight="1"/>
    <row r="1494" ht="3" customHeight="1"/>
    <row r="1495" ht="3" customHeight="1"/>
    <row r="1496" ht="3" customHeight="1"/>
    <row r="1497" ht="3" customHeight="1"/>
    <row r="1498" ht="3" customHeight="1"/>
    <row r="1499" ht="3" customHeight="1"/>
    <row r="1500" ht="3" customHeight="1"/>
    <row r="1501" ht="3" customHeight="1"/>
    <row r="1502" ht="3" customHeight="1"/>
    <row r="1503" ht="3" customHeight="1"/>
    <row r="1504" ht="3" customHeight="1"/>
    <row r="1505" ht="3" customHeight="1"/>
    <row r="1506" ht="3" customHeight="1"/>
    <row r="1507" ht="3" customHeight="1"/>
    <row r="1508" ht="3" customHeight="1"/>
    <row r="1509" ht="3" customHeight="1"/>
    <row r="1510" ht="3" customHeight="1"/>
    <row r="1511" ht="3" customHeight="1"/>
    <row r="1512" ht="3" customHeight="1"/>
    <row r="1513" ht="3" customHeight="1"/>
    <row r="1514" ht="3" customHeight="1"/>
    <row r="1515" ht="3" customHeight="1"/>
    <row r="1516" ht="3" customHeight="1"/>
    <row r="1517" ht="3" customHeight="1"/>
    <row r="1518" ht="3" customHeight="1"/>
    <row r="1519" ht="3" customHeight="1"/>
    <row r="1520" ht="3" customHeight="1"/>
    <row r="1521" ht="3" customHeight="1"/>
    <row r="1522" ht="3" customHeight="1"/>
    <row r="1523" ht="3" customHeight="1"/>
    <row r="1524" ht="3" customHeight="1"/>
    <row r="1525" ht="3" customHeight="1"/>
    <row r="1526" ht="3" customHeight="1"/>
    <row r="1527" ht="3" customHeight="1"/>
    <row r="1528" ht="3" customHeight="1"/>
    <row r="1529" ht="3" customHeight="1"/>
    <row r="1530" ht="3" customHeight="1"/>
    <row r="1531" ht="3" customHeight="1"/>
    <row r="1532" ht="3" customHeight="1"/>
    <row r="1533" ht="3" customHeight="1"/>
    <row r="1534" ht="3" customHeight="1"/>
    <row r="1535" ht="3" customHeight="1"/>
    <row r="1536" ht="3" customHeight="1"/>
    <row r="1537" ht="3" customHeight="1"/>
    <row r="1538" ht="3" customHeight="1"/>
    <row r="1539" ht="3" customHeight="1"/>
    <row r="1540" ht="3" customHeight="1"/>
    <row r="1541" ht="3" customHeight="1"/>
    <row r="1542" ht="3" customHeight="1"/>
    <row r="1543" ht="3" customHeight="1"/>
    <row r="1544" ht="3" customHeight="1"/>
    <row r="1545" ht="3" customHeight="1"/>
    <row r="1546" ht="3" customHeight="1"/>
    <row r="1547" ht="3" customHeight="1"/>
    <row r="1548" ht="3" customHeight="1"/>
    <row r="1549" ht="3" customHeight="1"/>
    <row r="1550" ht="3" customHeight="1"/>
    <row r="1551" ht="3" customHeight="1"/>
    <row r="1552" ht="3" customHeight="1"/>
    <row r="1553" ht="3" customHeight="1"/>
    <row r="1554" ht="3" customHeight="1"/>
    <row r="1555" ht="3" customHeight="1"/>
    <row r="1556" ht="3" customHeight="1"/>
    <row r="1557" ht="3" customHeight="1"/>
    <row r="1558" ht="3" customHeight="1"/>
    <row r="1559" ht="3" customHeight="1"/>
    <row r="1560" ht="3" customHeight="1"/>
    <row r="1561" ht="3" customHeight="1"/>
    <row r="1562" ht="3" customHeight="1"/>
    <row r="1563" ht="3" customHeight="1"/>
    <row r="1564" ht="3" customHeight="1"/>
    <row r="1565" ht="3" customHeight="1"/>
    <row r="1566" ht="3" customHeight="1"/>
    <row r="1567" ht="3" customHeight="1"/>
    <row r="1568" ht="3" customHeight="1"/>
    <row r="1569" ht="3" customHeight="1"/>
    <row r="1570" ht="3" customHeight="1"/>
    <row r="1571" ht="3" customHeight="1"/>
    <row r="1572" ht="3" customHeight="1"/>
    <row r="1573" ht="3" customHeight="1"/>
    <row r="1574" ht="3" customHeight="1"/>
    <row r="1575" ht="3" customHeight="1"/>
    <row r="1576" ht="3" customHeight="1"/>
    <row r="1577" ht="3" customHeight="1"/>
    <row r="1578" ht="3" customHeight="1"/>
    <row r="1579" ht="3" customHeight="1"/>
    <row r="1580" ht="3" customHeight="1"/>
    <row r="1581" ht="3" customHeight="1"/>
    <row r="1582" ht="3" customHeight="1"/>
    <row r="1583" ht="3" customHeight="1"/>
    <row r="1584" ht="3" customHeight="1"/>
    <row r="1585" ht="3" customHeight="1"/>
    <row r="1586" ht="3" customHeight="1"/>
    <row r="1587" ht="3" customHeight="1"/>
    <row r="1588" ht="3" customHeight="1"/>
    <row r="1589" ht="3" customHeight="1"/>
    <row r="1590" ht="3" customHeight="1"/>
    <row r="1591" ht="3" customHeight="1"/>
    <row r="1592" ht="3" customHeight="1"/>
    <row r="1593" ht="3" customHeight="1"/>
    <row r="1594" ht="3" customHeight="1"/>
    <row r="1595" ht="3" customHeight="1"/>
    <row r="1596" ht="3" customHeight="1"/>
    <row r="1597" ht="3" customHeight="1"/>
    <row r="1598" ht="3" customHeight="1"/>
    <row r="1599" ht="3" customHeight="1"/>
    <row r="1600" ht="3" customHeight="1"/>
    <row r="1601" ht="3" customHeight="1"/>
    <row r="1602" ht="3" customHeight="1"/>
    <row r="1603" ht="3" customHeight="1"/>
    <row r="1604" ht="3" customHeight="1"/>
    <row r="1605" ht="3" customHeight="1"/>
    <row r="1606" ht="3" customHeight="1"/>
    <row r="1607" ht="3" customHeight="1"/>
    <row r="1608" ht="3" customHeight="1"/>
    <row r="1609" ht="3" customHeight="1"/>
    <row r="1610" ht="3" customHeight="1"/>
    <row r="1611" ht="3" customHeight="1"/>
    <row r="1612" ht="3" customHeight="1"/>
    <row r="1613" ht="3" customHeight="1"/>
    <row r="1614" ht="3" customHeight="1"/>
    <row r="1615" ht="3" customHeight="1"/>
    <row r="1616" ht="3" customHeight="1"/>
    <row r="1617" ht="3" customHeight="1"/>
    <row r="1618" ht="3" customHeight="1"/>
    <row r="1619" ht="3" customHeight="1"/>
    <row r="1620" ht="3" customHeight="1"/>
    <row r="1621" ht="3" customHeight="1"/>
    <row r="1622" ht="3" customHeight="1"/>
    <row r="1623" ht="3" customHeight="1"/>
    <row r="1624" ht="3" customHeight="1"/>
    <row r="1625" ht="3" customHeight="1"/>
    <row r="1626" ht="3" customHeight="1"/>
    <row r="1627" ht="3" customHeight="1"/>
    <row r="1628" ht="3" customHeight="1"/>
    <row r="1629" ht="3" customHeight="1"/>
    <row r="1630" ht="3" customHeight="1"/>
    <row r="1631" ht="3" customHeight="1"/>
    <row r="1632" ht="3" customHeight="1"/>
    <row r="1633" ht="3" customHeight="1"/>
    <row r="1634" ht="3" customHeight="1"/>
    <row r="1635" ht="3" customHeight="1"/>
    <row r="1636" ht="3" customHeight="1"/>
    <row r="1637" ht="3" customHeight="1"/>
    <row r="1638" ht="3" customHeight="1"/>
    <row r="1639" ht="3" customHeight="1"/>
    <row r="1640" ht="3" customHeight="1"/>
    <row r="1641" ht="3" customHeight="1"/>
    <row r="1642" ht="3" customHeight="1"/>
    <row r="1643" ht="3" customHeight="1"/>
    <row r="1644" ht="3" customHeight="1"/>
    <row r="1645" ht="3" customHeight="1"/>
    <row r="1646" ht="3" customHeight="1"/>
    <row r="1647" ht="3" customHeight="1"/>
    <row r="1648" ht="3" customHeight="1"/>
    <row r="1649" ht="3" customHeight="1"/>
    <row r="1650" ht="3" customHeight="1"/>
    <row r="1651" ht="3" customHeight="1"/>
    <row r="1652" ht="3" customHeight="1"/>
    <row r="1653" ht="3" customHeight="1"/>
    <row r="1654" ht="3" customHeight="1"/>
    <row r="1655" ht="3" customHeight="1"/>
    <row r="1656" ht="3" customHeight="1"/>
    <row r="1657" ht="3" customHeight="1"/>
    <row r="1658" ht="3" customHeight="1"/>
    <row r="1659" ht="3" customHeight="1"/>
    <row r="1660" ht="3" customHeight="1"/>
    <row r="1661" ht="3" customHeight="1"/>
    <row r="1662" ht="3" customHeight="1"/>
    <row r="1663" ht="3" customHeight="1"/>
    <row r="1664" ht="3" customHeight="1"/>
    <row r="1665" ht="3" customHeight="1"/>
    <row r="1666" ht="3" customHeight="1"/>
    <row r="1667" ht="3" customHeight="1"/>
    <row r="1668" ht="3" customHeight="1"/>
    <row r="1669" ht="3" customHeight="1"/>
    <row r="1670" ht="3" customHeight="1"/>
    <row r="1671" ht="3" customHeight="1"/>
    <row r="1672" ht="3" customHeight="1"/>
    <row r="1673" ht="3" customHeight="1"/>
    <row r="1674" ht="3" customHeight="1"/>
    <row r="1675" ht="3" customHeight="1"/>
    <row r="1676" ht="3" customHeight="1"/>
    <row r="1677" ht="3" customHeight="1"/>
    <row r="1678" ht="3" customHeight="1"/>
    <row r="1679" ht="3" customHeight="1"/>
    <row r="1680" ht="3" customHeight="1"/>
    <row r="1681" ht="3" customHeight="1"/>
    <row r="1682" ht="3" customHeight="1"/>
    <row r="1683" ht="3" customHeight="1"/>
    <row r="1684" ht="3" customHeight="1"/>
    <row r="1685" ht="3" customHeight="1"/>
    <row r="1686" ht="3" customHeight="1"/>
    <row r="1687" ht="3" customHeight="1"/>
    <row r="1688" ht="3" customHeight="1"/>
    <row r="1689" ht="3" customHeight="1"/>
    <row r="1690" ht="3" customHeight="1"/>
    <row r="1691" ht="3" customHeight="1"/>
    <row r="1692" ht="3" customHeight="1"/>
    <row r="1693" ht="3" customHeight="1"/>
    <row r="1694" ht="3" customHeight="1"/>
    <row r="1695" ht="3" customHeight="1"/>
    <row r="1696" ht="3" customHeight="1"/>
    <row r="1697" ht="3" customHeight="1"/>
    <row r="1698" ht="3" customHeight="1"/>
    <row r="1699" ht="3" customHeight="1"/>
    <row r="1700" ht="3" customHeight="1"/>
    <row r="1701" ht="3" customHeight="1"/>
    <row r="1702" ht="3" customHeight="1"/>
    <row r="1703" ht="3" customHeight="1"/>
    <row r="1704" ht="3" customHeight="1"/>
    <row r="1705" ht="3" customHeight="1"/>
    <row r="1706" ht="3" customHeight="1"/>
    <row r="1707" ht="3" customHeight="1"/>
    <row r="1708" ht="3" customHeight="1"/>
    <row r="1709" ht="3" customHeight="1"/>
    <row r="1710" ht="3" customHeight="1"/>
    <row r="1711" ht="3" customHeight="1"/>
    <row r="1712" ht="3" customHeight="1"/>
    <row r="1713" ht="3" customHeight="1"/>
    <row r="1714" ht="3" customHeight="1"/>
    <row r="1715" ht="3" customHeight="1"/>
    <row r="1716" ht="3" customHeight="1"/>
    <row r="1717" ht="3" customHeight="1"/>
    <row r="1718" ht="3" customHeight="1"/>
    <row r="1719" ht="3" customHeight="1"/>
    <row r="1720" ht="3" customHeight="1"/>
    <row r="1721" ht="3" customHeight="1"/>
    <row r="1722" ht="3" customHeight="1"/>
    <row r="1723" ht="3" customHeight="1"/>
    <row r="1724" ht="3" customHeight="1"/>
    <row r="1725" ht="3" customHeight="1"/>
    <row r="1726" ht="3" customHeight="1"/>
    <row r="1727" ht="3" customHeight="1"/>
    <row r="1728" ht="3" customHeight="1"/>
    <row r="1729" ht="3" customHeight="1"/>
    <row r="1730" ht="3" customHeight="1"/>
    <row r="1731" ht="3" customHeight="1"/>
    <row r="1732" ht="3" customHeight="1"/>
    <row r="1733" ht="3" customHeight="1"/>
    <row r="1734" ht="3" customHeight="1"/>
    <row r="1735" ht="3" customHeight="1"/>
    <row r="1736" ht="3" customHeight="1"/>
    <row r="1737" ht="3" customHeight="1"/>
    <row r="1738" ht="3" customHeight="1"/>
    <row r="1739" ht="3" customHeight="1"/>
    <row r="1740" ht="3" customHeight="1"/>
    <row r="1741" ht="3" customHeight="1"/>
    <row r="1742" ht="3" customHeight="1"/>
    <row r="1743" ht="3" customHeight="1"/>
    <row r="1744" ht="3" customHeight="1"/>
    <row r="1745" ht="3" customHeight="1"/>
    <row r="1746" ht="3" customHeight="1"/>
    <row r="1747" ht="3" customHeight="1"/>
    <row r="1748" ht="3" customHeight="1"/>
    <row r="1749" ht="3" customHeight="1"/>
    <row r="1750" ht="3" customHeight="1"/>
    <row r="1751" ht="3" customHeight="1"/>
    <row r="1752" ht="3" customHeight="1"/>
    <row r="1753" ht="3" customHeight="1"/>
    <row r="1754" ht="3" customHeight="1"/>
    <row r="1755" ht="3" customHeight="1"/>
    <row r="1756" ht="3" customHeight="1"/>
    <row r="1757" ht="3" customHeight="1"/>
    <row r="1758" ht="3" customHeight="1"/>
    <row r="1759" ht="3" customHeight="1"/>
    <row r="1760" ht="3" customHeight="1"/>
    <row r="1761" ht="3" customHeight="1"/>
    <row r="1762" ht="3" customHeight="1"/>
    <row r="1763" ht="3" customHeight="1"/>
    <row r="1764" ht="3" customHeight="1"/>
    <row r="1765" ht="3" customHeight="1"/>
    <row r="1766" ht="3" customHeight="1"/>
    <row r="1767" ht="3" customHeight="1"/>
    <row r="1768" ht="3" customHeight="1"/>
    <row r="1769" ht="3" customHeight="1"/>
    <row r="1770" ht="3" customHeight="1"/>
    <row r="1771" ht="3" customHeight="1"/>
    <row r="1772" ht="3" customHeight="1"/>
    <row r="1773" ht="3" customHeight="1"/>
    <row r="1774" ht="3" customHeight="1"/>
    <row r="1775" ht="3" customHeight="1"/>
    <row r="1776" ht="3" customHeight="1"/>
    <row r="1777" ht="3" customHeight="1"/>
    <row r="1778" ht="3" customHeight="1"/>
    <row r="1779" ht="3" customHeight="1"/>
    <row r="1780" ht="3" customHeight="1"/>
    <row r="1781" ht="3" customHeight="1"/>
    <row r="1782" ht="3" customHeight="1"/>
    <row r="1783" ht="3" customHeight="1"/>
    <row r="1784" ht="3" customHeight="1"/>
    <row r="1785" ht="3" customHeight="1"/>
    <row r="1786" ht="3" customHeight="1"/>
    <row r="1787" ht="3" customHeight="1"/>
    <row r="1788" ht="3" customHeight="1"/>
    <row r="1789" ht="3" customHeight="1"/>
    <row r="1790" ht="3" customHeight="1"/>
    <row r="1791" ht="3" customHeight="1"/>
    <row r="1792" ht="3" customHeight="1"/>
    <row r="1793" ht="3" customHeight="1"/>
    <row r="1794" ht="3" customHeight="1"/>
    <row r="1795" ht="3" customHeight="1"/>
    <row r="1796" ht="3" customHeight="1"/>
    <row r="1797" ht="3" customHeight="1"/>
    <row r="1798" ht="3" customHeight="1"/>
    <row r="1799" ht="3" customHeight="1"/>
    <row r="1800" ht="3" customHeight="1"/>
    <row r="1801" ht="3" customHeight="1"/>
    <row r="1802" ht="3" customHeight="1"/>
    <row r="1803" ht="3" customHeight="1"/>
    <row r="1804" ht="3" customHeight="1"/>
    <row r="1805" ht="3" customHeight="1"/>
    <row r="1806" ht="3" customHeight="1"/>
    <row r="1807" ht="3" customHeight="1"/>
    <row r="1808" ht="3" customHeight="1"/>
    <row r="1809" ht="3" customHeight="1"/>
    <row r="1810" ht="3" customHeight="1"/>
    <row r="1811" ht="3" customHeight="1"/>
    <row r="1812" ht="3" customHeight="1"/>
    <row r="1813" ht="3" customHeight="1"/>
    <row r="1814" ht="3" customHeight="1"/>
    <row r="1815" ht="3" customHeight="1"/>
    <row r="1816" ht="3" customHeight="1"/>
    <row r="1817" ht="3" customHeight="1"/>
    <row r="1818" ht="3" customHeight="1"/>
    <row r="1819" ht="3" customHeight="1"/>
    <row r="1820" ht="3" customHeight="1"/>
    <row r="1821" ht="3" customHeight="1"/>
    <row r="1822" ht="3" customHeight="1"/>
    <row r="1823" ht="3" customHeight="1"/>
    <row r="1824" ht="3" customHeight="1"/>
    <row r="1825" ht="3" customHeight="1"/>
    <row r="1826" ht="3" customHeight="1"/>
    <row r="1827" ht="3" customHeight="1"/>
    <row r="1828" ht="3" customHeight="1"/>
    <row r="1829" ht="3" customHeight="1"/>
    <row r="1830" ht="3" customHeight="1"/>
    <row r="1831" ht="3" customHeight="1"/>
    <row r="1832" ht="3" customHeight="1"/>
    <row r="1833" ht="3" customHeight="1"/>
    <row r="1834" ht="3" customHeight="1"/>
    <row r="1835" ht="3" customHeight="1"/>
    <row r="1836" ht="3" customHeight="1"/>
    <row r="1837" ht="3" customHeight="1"/>
    <row r="1838" ht="3" customHeight="1"/>
    <row r="1839" ht="3" customHeight="1"/>
    <row r="1840" ht="3" customHeight="1"/>
    <row r="1841" ht="3" customHeight="1"/>
    <row r="1842" ht="3" customHeight="1"/>
    <row r="1843" ht="3" customHeight="1"/>
    <row r="1844" ht="3" customHeight="1"/>
    <row r="1845" ht="3" customHeight="1"/>
    <row r="1846" ht="3" customHeight="1"/>
    <row r="1847" ht="3" customHeight="1"/>
    <row r="1848" ht="3" customHeight="1"/>
    <row r="1849" ht="3" customHeight="1"/>
    <row r="1850" ht="3" customHeight="1"/>
    <row r="1851" ht="3" customHeight="1"/>
    <row r="1852" ht="3" customHeight="1"/>
    <row r="1853" ht="3" customHeight="1"/>
    <row r="1854" ht="3" customHeight="1"/>
    <row r="1855" ht="3" customHeight="1"/>
    <row r="1856" ht="3" customHeight="1"/>
    <row r="1857" ht="3" customHeight="1"/>
    <row r="1858" ht="3" customHeight="1"/>
    <row r="1859" ht="3" customHeight="1"/>
    <row r="1860" ht="3" customHeight="1"/>
    <row r="1861" ht="3" customHeight="1"/>
    <row r="1862" ht="3" customHeight="1"/>
    <row r="1863" ht="3" customHeight="1"/>
    <row r="1864" ht="3" customHeight="1"/>
    <row r="1865" ht="3" customHeight="1"/>
    <row r="1866" ht="3" customHeight="1"/>
    <row r="1867" ht="3" customHeight="1"/>
    <row r="1868" ht="3" customHeight="1"/>
    <row r="1869" ht="3" customHeight="1"/>
    <row r="1870" ht="3" customHeight="1"/>
    <row r="1871" ht="3" customHeight="1"/>
    <row r="1872" ht="3" customHeight="1"/>
    <row r="1873" ht="3" customHeight="1"/>
    <row r="1874" ht="3" customHeight="1"/>
    <row r="1875" ht="3" customHeight="1"/>
    <row r="1876" ht="3" customHeight="1"/>
    <row r="1877" ht="3" customHeight="1"/>
    <row r="1878" ht="3" customHeight="1"/>
    <row r="1879" ht="3" customHeight="1"/>
    <row r="1880" ht="3" customHeight="1"/>
    <row r="1881" ht="3" customHeight="1"/>
    <row r="1882" ht="3" customHeight="1"/>
    <row r="1883" ht="3" customHeight="1"/>
    <row r="1884" ht="3" customHeight="1"/>
    <row r="1885" ht="3" customHeight="1"/>
    <row r="1886" ht="3" customHeight="1"/>
    <row r="1887" ht="3" customHeight="1"/>
    <row r="1888" ht="3" customHeight="1"/>
    <row r="1889" ht="3" customHeight="1"/>
    <row r="1890" ht="3" customHeight="1"/>
    <row r="1891" ht="3" customHeight="1"/>
    <row r="1892" ht="3" customHeight="1"/>
    <row r="1893" ht="3" customHeight="1"/>
    <row r="1894" ht="3" customHeight="1"/>
    <row r="1895" ht="3" customHeight="1"/>
    <row r="1896" ht="3" customHeight="1"/>
    <row r="1897" ht="3" customHeight="1"/>
    <row r="1898" ht="3" customHeight="1"/>
    <row r="1899" ht="3" customHeight="1"/>
    <row r="1900" ht="3" customHeight="1"/>
    <row r="1901" ht="3" customHeight="1"/>
    <row r="1902" ht="3" customHeight="1"/>
    <row r="1903" ht="3" customHeight="1"/>
    <row r="1904" ht="3" customHeight="1"/>
    <row r="1905" ht="3" customHeight="1"/>
    <row r="1906" ht="3" customHeight="1"/>
    <row r="1907" ht="3" customHeight="1"/>
    <row r="1908" ht="3" customHeight="1"/>
    <row r="1909" ht="3" customHeight="1"/>
    <row r="1910" ht="3" customHeight="1"/>
    <row r="1911" ht="3" customHeight="1"/>
    <row r="1912" ht="3" customHeight="1"/>
    <row r="1913" ht="3" customHeight="1"/>
    <row r="1914" ht="3" customHeight="1"/>
    <row r="1915" ht="3" customHeight="1"/>
    <row r="1916" ht="3" customHeight="1"/>
    <row r="1917" ht="3" customHeight="1"/>
    <row r="1918" ht="3" customHeight="1"/>
    <row r="1919" ht="3" customHeight="1"/>
    <row r="1920" ht="3" customHeight="1"/>
    <row r="1921" ht="3" customHeight="1"/>
    <row r="1922" ht="3" customHeight="1"/>
    <row r="1923" ht="3" customHeight="1"/>
    <row r="1924" ht="3" customHeight="1"/>
    <row r="1925" ht="3" customHeight="1"/>
    <row r="1926" ht="3" customHeight="1"/>
    <row r="1927" ht="3" customHeight="1"/>
    <row r="1928" ht="3" customHeight="1"/>
    <row r="1929" ht="3" customHeight="1"/>
    <row r="1930" ht="3" customHeight="1"/>
    <row r="1931" ht="3" customHeight="1"/>
    <row r="1932" ht="3" customHeight="1"/>
    <row r="1933" ht="3" customHeight="1"/>
    <row r="1934" ht="3" customHeight="1"/>
    <row r="1935" ht="3" customHeight="1"/>
    <row r="1936" ht="3" customHeight="1"/>
    <row r="1937" ht="3" customHeight="1"/>
    <row r="1938" ht="3" customHeight="1"/>
    <row r="1939" ht="3" customHeight="1"/>
    <row r="1940" ht="3" customHeight="1"/>
    <row r="1941" ht="3" customHeight="1"/>
    <row r="1942" ht="3" customHeight="1"/>
    <row r="1943" ht="3" customHeight="1"/>
    <row r="1944" ht="3" customHeight="1"/>
    <row r="1945" ht="3" customHeight="1"/>
    <row r="1946" ht="3" customHeight="1"/>
    <row r="1947" ht="3" customHeight="1"/>
    <row r="1948" ht="3" customHeight="1"/>
    <row r="1949" ht="3" customHeight="1"/>
    <row r="1950" ht="3" customHeight="1"/>
    <row r="1951" ht="3" customHeight="1"/>
    <row r="1952" ht="3" customHeight="1"/>
    <row r="1953" ht="3" customHeight="1"/>
    <row r="1954" ht="3" customHeight="1"/>
    <row r="1955" ht="3" customHeight="1"/>
    <row r="1956" ht="3" customHeight="1"/>
    <row r="1957" ht="3" customHeight="1"/>
    <row r="1958" ht="3" customHeight="1"/>
    <row r="1959" ht="3" customHeight="1"/>
    <row r="1960" ht="3" customHeight="1"/>
    <row r="1961" ht="3" customHeight="1"/>
    <row r="1962" ht="3" customHeight="1"/>
    <row r="1963" ht="3" customHeight="1"/>
    <row r="1964" ht="3" customHeight="1"/>
    <row r="1965" ht="3" customHeight="1"/>
    <row r="1966" ht="3" customHeight="1"/>
    <row r="1967" ht="3" customHeight="1"/>
    <row r="1968" ht="3" customHeight="1"/>
    <row r="1969" ht="3" customHeight="1"/>
    <row r="1970" ht="3" customHeight="1"/>
    <row r="1971" ht="3" customHeight="1"/>
    <row r="1972" ht="3" customHeight="1"/>
    <row r="1973" ht="3" customHeight="1"/>
    <row r="1974" ht="3" customHeight="1"/>
    <row r="1975" ht="3" customHeight="1"/>
    <row r="1976" ht="3" customHeight="1"/>
    <row r="1977" ht="3" customHeight="1"/>
    <row r="1978" ht="3" customHeight="1"/>
    <row r="1979" ht="3" customHeight="1"/>
    <row r="1980" ht="3" customHeight="1"/>
    <row r="1981" ht="3" customHeight="1"/>
    <row r="1982" ht="3" customHeight="1"/>
    <row r="1983" ht="3" customHeight="1"/>
    <row r="1984" ht="3" customHeight="1"/>
    <row r="1985" ht="3" customHeight="1"/>
    <row r="1986" ht="3" customHeight="1"/>
    <row r="1987" ht="3" customHeight="1"/>
    <row r="1988" ht="3" customHeight="1"/>
    <row r="1989" ht="3" customHeight="1"/>
    <row r="1990" ht="3" customHeight="1"/>
    <row r="1991" ht="3" customHeight="1"/>
    <row r="1992" ht="3" customHeight="1"/>
    <row r="1993" ht="3" customHeight="1"/>
    <row r="1994" ht="3" customHeight="1"/>
    <row r="1995" ht="3" customHeight="1"/>
    <row r="1996" ht="3" customHeight="1"/>
    <row r="1997" ht="3" customHeight="1"/>
    <row r="1998" ht="3" customHeight="1"/>
    <row r="1999" ht="3" customHeight="1"/>
    <row r="2000" ht="3" customHeight="1"/>
    <row r="2001" ht="3" customHeight="1"/>
    <row r="2002" ht="3" customHeight="1"/>
    <row r="2003" ht="3" customHeight="1"/>
    <row r="2004" ht="3" customHeight="1"/>
    <row r="2005" ht="3" customHeight="1"/>
    <row r="2006" ht="3" customHeight="1"/>
    <row r="2007" ht="3" customHeight="1"/>
    <row r="2008" ht="3" customHeight="1"/>
    <row r="2009" ht="3" customHeight="1"/>
    <row r="2010" ht="3" customHeight="1"/>
    <row r="2011" ht="3" customHeight="1"/>
    <row r="2012" ht="3" customHeight="1"/>
    <row r="2013" ht="3" customHeight="1"/>
    <row r="2014" ht="3" customHeight="1"/>
    <row r="2015" ht="3" customHeight="1"/>
    <row r="2016" ht="3" customHeight="1"/>
    <row r="2017" ht="3" customHeight="1"/>
    <row r="2018" ht="3" customHeight="1"/>
    <row r="2019" ht="3" customHeight="1"/>
    <row r="2020" ht="3" customHeight="1"/>
    <row r="2021" ht="3" customHeight="1"/>
    <row r="2022" ht="3" customHeight="1"/>
    <row r="2023" ht="3" customHeight="1"/>
    <row r="2024" ht="3" customHeight="1"/>
    <row r="2025" ht="3" customHeight="1"/>
    <row r="2026" ht="3" customHeight="1"/>
    <row r="2027" ht="3" customHeight="1"/>
    <row r="2028" ht="3" customHeight="1"/>
    <row r="2029" ht="3" customHeight="1"/>
    <row r="2030" ht="3" customHeight="1"/>
    <row r="2031" ht="3" customHeight="1"/>
    <row r="2032" ht="3" customHeight="1"/>
    <row r="2033" ht="3" customHeight="1"/>
    <row r="2034" ht="3" customHeight="1"/>
    <row r="2035" ht="3" customHeight="1"/>
    <row r="2036" ht="3" customHeight="1"/>
    <row r="2037" ht="3" customHeight="1"/>
    <row r="2038" ht="3" customHeight="1"/>
    <row r="2039" ht="3" customHeight="1"/>
    <row r="2040" ht="3" customHeight="1"/>
    <row r="2041" ht="3" customHeight="1"/>
    <row r="2042" ht="3" customHeight="1"/>
    <row r="2043" ht="3" customHeight="1"/>
    <row r="2044" ht="3" customHeight="1"/>
    <row r="2045" ht="3" customHeight="1"/>
    <row r="2046" ht="3" customHeight="1"/>
    <row r="2047" ht="3" customHeight="1"/>
    <row r="2048" ht="3" customHeight="1"/>
    <row r="2049" ht="3" customHeight="1"/>
    <row r="2050" ht="3" customHeight="1"/>
    <row r="2051" ht="3" customHeight="1"/>
    <row r="2052" ht="3" customHeight="1"/>
    <row r="2053" ht="3" customHeight="1"/>
    <row r="2054" ht="3" customHeight="1"/>
    <row r="2055" ht="3" customHeight="1"/>
    <row r="2056" ht="3" customHeight="1"/>
    <row r="2057" ht="3" customHeight="1"/>
    <row r="2058" ht="3" customHeight="1"/>
    <row r="2059" ht="3" customHeight="1"/>
    <row r="2060" ht="3" customHeight="1"/>
    <row r="2061" ht="3" customHeight="1"/>
    <row r="2062" ht="3" customHeight="1"/>
    <row r="2063" ht="3" customHeight="1"/>
    <row r="2064" ht="3" customHeight="1"/>
    <row r="2065" ht="3" customHeight="1"/>
    <row r="2066" ht="3" customHeight="1"/>
    <row r="2067" ht="3" customHeight="1"/>
    <row r="2068" ht="3" customHeight="1"/>
    <row r="2069" ht="3" customHeight="1"/>
    <row r="2070" ht="3" customHeight="1"/>
    <row r="2071" ht="3" customHeight="1"/>
    <row r="2072" ht="3" customHeight="1"/>
    <row r="2073" ht="3" customHeight="1"/>
    <row r="2074" ht="3" customHeight="1"/>
    <row r="2075" ht="3" customHeight="1"/>
    <row r="2076" ht="3" customHeight="1"/>
    <row r="2077" ht="3" customHeight="1"/>
    <row r="2078" ht="3" customHeight="1"/>
    <row r="2079" ht="3" customHeight="1"/>
    <row r="2080" ht="3" customHeight="1"/>
    <row r="2081" ht="3" customHeight="1"/>
    <row r="2082" ht="3" customHeight="1"/>
    <row r="2083" ht="3" customHeight="1"/>
    <row r="2084" ht="3" customHeight="1"/>
    <row r="2085" ht="3" customHeight="1"/>
    <row r="2086" ht="3" customHeight="1"/>
    <row r="2087" ht="3" customHeight="1"/>
    <row r="2088" ht="3" customHeight="1"/>
    <row r="2089" ht="3" customHeight="1"/>
    <row r="2090" ht="3" customHeight="1"/>
    <row r="2091" ht="3" customHeight="1"/>
    <row r="2092" ht="3" customHeight="1"/>
    <row r="2093" ht="3" customHeight="1"/>
    <row r="2094" ht="3" customHeight="1"/>
    <row r="2095" ht="3" customHeight="1"/>
    <row r="2096" ht="3" customHeight="1"/>
    <row r="2097" ht="3" customHeight="1"/>
    <row r="2098" ht="3" customHeight="1"/>
    <row r="2099" ht="3" customHeight="1"/>
    <row r="2100" ht="3" customHeight="1"/>
    <row r="2101" ht="3" customHeight="1"/>
    <row r="2102" ht="3" customHeight="1"/>
    <row r="2103" ht="3" customHeight="1"/>
    <row r="2104" ht="3" customHeight="1"/>
    <row r="2105" ht="3" customHeight="1"/>
    <row r="2106" ht="3" customHeight="1"/>
    <row r="2107" ht="3" customHeight="1"/>
    <row r="2108" ht="3" customHeight="1"/>
    <row r="2109" ht="3" customHeight="1"/>
    <row r="2110" ht="3" customHeight="1"/>
    <row r="2111" ht="3" customHeight="1"/>
    <row r="2112" ht="3" customHeight="1"/>
    <row r="2113" ht="3" customHeight="1"/>
    <row r="2114" ht="3" customHeight="1"/>
    <row r="2115" ht="3" customHeight="1"/>
    <row r="2116" ht="3" customHeight="1"/>
    <row r="2117" ht="3" customHeight="1"/>
    <row r="2118" ht="3" customHeight="1"/>
    <row r="2119" ht="3" customHeight="1"/>
    <row r="2120" ht="3" customHeight="1"/>
    <row r="2121" ht="3" customHeight="1"/>
    <row r="2122" ht="3" customHeight="1"/>
    <row r="2123" ht="3" customHeight="1"/>
    <row r="2124" ht="3" customHeight="1"/>
    <row r="2125" ht="3" customHeight="1"/>
    <row r="2126" ht="3" customHeight="1"/>
    <row r="2127" ht="3" customHeight="1"/>
    <row r="2128" ht="3" customHeight="1"/>
    <row r="2129" ht="3" customHeight="1"/>
    <row r="2130" ht="3" customHeight="1"/>
    <row r="2131" ht="3" customHeight="1"/>
    <row r="2132" ht="3" customHeight="1"/>
    <row r="2133" ht="3" customHeight="1"/>
    <row r="2134" ht="3" customHeight="1"/>
    <row r="2135" ht="3" customHeight="1"/>
    <row r="2136" ht="3" customHeight="1"/>
    <row r="2137" ht="3" customHeight="1"/>
    <row r="2138" ht="3" customHeight="1"/>
    <row r="2139" ht="3" customHeight="1"/>
    <row r="2140" ht="3" customHeight="1"/>
    <row r="2141" ht="3" customHeight="1"/>
    <row r="2142" ht="3" customHeight="1"/>
    <row r="2143" ht="3" customHeight="1"/>
    <row r="2144" ht="3" customHeight="1"/>
    <row r="2145" ht="3" customHeight="1"/>
    <row r="2146" ht="3" customHeight="1"/>
    <row r="2147" ht="3" customHeight="1"/>
    <row r="2148" ht="3" customHeight="1"/>
    <row r="2149" ht="3" customHeight="1"/>
    <row r="2150" ht="3" customHeight="1"/>
    <row r="2151" ht="3" customHeight="1"/>
    <row r="2152" ht="3" customHeight="1"/>
    <row r="2153" ht="3" customHeight="1"/>
    <row r="2154" ht="3" customHeight="1"/>
    <row r="2155" ht="3" customHeight="1"/>
    <row r="2156" ht="3" customHeight="1"/>
    <row r="2157" ht="3" customHeight="1"/>
    <row r="2158" ht="3" customHeight="1"/>
    <row r="2159" ht="3" customHeight="1"/>
    <row r="2160" ht="3" customHeight="1"/>
    <row r="2161" ht="3" customHeight="1"/>
    <row r="2162" ht="3" customHeight="1"/>
    <row r="2163" ht="3" customHeight="1"/>
    <row r="2164" ht="3" customHeight="1"/>
    <row r="2165" ht="3" customHeight="1"/>
    <row r="2166" ht="3" customHeight="1"/>
    <row r="2167" ht="3" customHeight="1"/>
    <row r="2168" ht="3" customHeight="1"/>
    <row r="2169" ht="3" customHeight="1"/>
    <row r="2170" ht="3" customHeight="1"/>
    <row r="2171" ht="3" customHeight="1"/>
    <row r="2172" ht="3" customHeight="1"/>
    <row r="2173" ht="3" customHeight="1"/>
    <row r="2174" ht="3" customHeight="1"/>
    <row r="2175" ht="3" customHeight="1"/>
    <row r="2176" ht="3" customHeight="1"/>
    <row r="2177" ht="3" customHeight="1"/>
    <row r="2178" ht="3" customHeight="1"/>
    <row r="2179" ht="3" customHeight="1"/>
    <row r="2180" ht="3" customHeight="1"/>
    <row r="2181" ht="3" customHeight="1"/>
    <row r="2182" ht="3" customHeight="1"/>
    <row r="2183" ht="3" customHeight="1"/>
    <row r="2184" ht="3" customHeight="1"/>
    <row r="2185" ht="3" customHeight="1"/>
    <row r="2186" ht="3" customHeight="1"/>
    <row r="2187" ht="3" customHeight="1"/>
    <row r="2188" ht="3" customHeight="1"/>
    <row r="2189" ht="3" customHeight="1"/>
    <row r="2190" ht="3" customHeight="1"/>
    <row r="2191" ht="3" customHeight="1"/>
    <row r="2192" ht="3" customHeight="1"/>
    <row r="2193" ht="3" customHeight="1"/>
    <row r="2194" ht="3" customHeight="1"/>
    <row r="2195" ht="3" customHeight="1"/>
    <row r="2196" ht="3" customHeight="1"/>
    <row r="2197" ht="3" customHeight="1"/>
    <row r="2198" ht="3" customHeight="1"/>
    <row r="2199" ht="3" customHeight="1"/>
    <row r="2200" ht="3" customHeight="1"/>
    <row r="2201" ht="3" customHeight="1"/>
    <row r="2202" ht="3" customHeight="1"/>
    <row r="2203" ht="3" customHeight="1"/>
    <row r="2204" ht="3" customHeight="1"/>
    <row r="2205" ht="3" customHeight="1"/>
    <row r="2206" ht="3" customHeight="1"/>
    <row r="2207" ht="3" customHeight="1"/>
    <row r="2208" ht="3" customHeight="1"/>
    <row r="2209" ht="3" customHeight="1"/>
    <row r="2210" ht="3" customHeight="1"/>
    <row r="2211" ht="3" customHeight="1"/>
    <row r="2212" ht="3" customHeight="1"/>
    <row r="2213" ht="3" customHeight="1"/>
    <row r="2214" ht="3" customHeight="1"/>
    <row r="2215" ht="3" customHeight="1"/>
    <row r="2216" ht="3" customHeight="1"/>
    <row r="2217" ht="3" customHeight="1"/>
    <row r="2218" ht="3" customHeight="1"/>
    <row r="2219" ht="3" customHeight="1"/>
    <row r="2220" ht="3" customHeight="1"/>
    <row r="2221" ht="3" customHeight="1"/>
    <row r="2222" ht="3" customHeight="1"/>
    <row r="2223" ht="3" customHeight="1"/>
    <row r="2224" ht="3" customHeight="1"/>
    <row r="2225" ht="3" customHeight="1"/>
    <row r="2226" ht="3" customHeight="1"/>
    <row r="2227" ht="3" customHeight="1"/>
    <row r="2228" ht="3" customHeight="1"/>
    <row r="2229" ht="3" customHeight="1"/>
    <row r="2230" ht="3" customHeight="1"/>
    <row r="2231" ht="3" customHeight="1"/>
    <row r="2232" ht="3" customHeight="1"/>
    <row r="2233" ht="3" customHeight="1"/>
    <row r="2234" ht="3" customHeight="1"/>
    <row r="2235" ht="3" customHeight="1"/>
    <row r="2236" ht="3" customHeight="1"/>
    <row r="2237" ht="3" customHeight="1"/>
    <row r="2238" ht="3" customHeight="1"/>
    <row r="2239" ht="3" customHeight="1"/>
    <row r="2240" ht="3" customHeight="1"/>
    <row r="2241" ht="3" customHeight="1"/>
    <row r="2242" ht="3" customHeight="1"/>
    <row r="2243" ht="3" customHeight="1"/>
    <row r="2244" ht="3" customHeight="1"/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38"/>
  <sheetViews>
    <sheetView showGridLines="0" topLeftCell="A17" workbookViewId="0">
      <selection activeCell="N17" sqref="N17"/>
    </sheetView>
  </sheetViews>
  <sheetFormatPr baseColWidth="10" defaultRowHeight="15"/>
  <cols>
    <col min="2" max="2" width="17.42578125" customWidth="1"/>
    <col min="3" max="3" width="12" customWidth="1"/>
    <col min="4" max="5" width="13.5703125" bestFit="1" customWidth="1"/>
    <col min="6" max="6" width="11.5703125" bestFit="1" customWidth="1"/>
    <col min="7" max="7" width="13.5703125" bestFit="1" customWidth="1"/>
    <col min="8" max="8" width="12.5703125" bestFit="1" customWidth="1"/>
    <col min="9" max="9" width="11.5703125" bestFit="1" customWidth="1"/>
  </cols>
  <sheetData>
    <row r="1" spans="1:11">
      <c r="B1" s="209" t="s">
        <v>1269</v>
      </c>
      <c r="C1" s="209"/>
      <c r="D1" s="209"/>
      <c r="E1" s="209"/>
      <c r="F1" s="209"/>
      <c r="G1" s="209"/>
      <c r="H1" s="209"/>
      <c r="I1" s="209"/>
    </row>
    <row r="2" spans="1:11" ht="23.25" customHeight="1">
      <c r="B2" s="214" t="s">
        <v>1198</v>
      </c>
      <c r="C2" s="215" t="s">
        <v>1260</v>
      </c>
      <c r="D2" s="213">
        <v>43770</v>
      </c>
      <c r="E2" s="214"/>
      <c r="F2" s="214"/>
      <c r="G2" s="213">
        <v>43800</v>
      </c>
      <c r="H2" s="214"/>
      <c r="I2" s="214"/>
      <c r="J2" s="211" t="s">
        <v>1272</v>
      </c>
      <c r="K2" s="211"/>
    </row>
    <row r="3" spans="1:11" ht="22.5" customHeight="1">
      <c r="B3" s="214"/>
      <c r="C3" s="216"/>
      <c r="D3" s="65" t="s">
        <v>1257</v>
      </c>
      <c r="E3" s="65" t="s">
        <v>1258</v>
      </c>
      <c r="F3" s="65" t="s">
        <v>1259</v>
      </c>
      <c r="G3" s="65" t="s">
        <v>1257</v>
      </c>
      <c r="H3" s="65" t="s">
        <v>1258</v>
      </c>
      <c r="I3" s="65" t="s">
        <v>1259</v>
      </c>
      <c r="J3" s="65" t="s">
        <v>1271</v>
      </c>
      <c r="K3" s="65" t="s">
        <v>1270</v>
      </c>
    </row>
    <row r="4" spans="1:11">
      <c r="B4" s="62" t="s">
        <v>1254</v>
      </c>
      <c r="C4" s="64">
        <f>AVERAGE(F4,I4)</f>
        <v>4.3776551423536905</v>
      </c>
      <c r="D4" s="63">
        <v>65844</v>
      </c>
      <c r="E4" s="63">
        <v>14994</v>
      </c>
      <c r="F4" s="64">
        <f>D4/E4</f>
        <v>4.3913565426170464</v>
      </c>
      <c r="G4" s="63">
        <v>40000</v>
      </c>
      <c r="H4" s="63">
        <v>9166</v>
      </c>
      <c r="I4" s="64">
        <f>G4/H4</f>
        <v>4.3639537420903336</v>
      </c>
      <c r="J4" s="72">
        <f>AVERAGE(D4,G4)</f>
        <v>52922</v>
      </c>
      <c r="K4" s="72">
        <f>AVERAGE(E4,H4)</f>
        <v>12080</v>
      </c>
    </row>
    <row r="5" spans="1:11">
      <c r="B5" s="62" t="s">
        <v>100</v>
      </c>
      <c r="C5" s="64">
        <f t="shared" ref="C5:C8" si="0">AVERAGE(F5,I5)</f>
        <v>3.158709911028347</v>
      </c>
      <c r="D5" s="63">
        <v>31654</v>
      </c>
      <c r="E5" s="63">
        <v>9800</v>
      </c>
      <c r="F5" s="64">
        <f t="shared" ref="F5:F8" si="1">D5/E5</f>
        <v>3.23</v>
      </c>
      <c r="G5" s="63">
        <v>29843</v>
      </c>
      <c r="H5" s="63">
        <v>9666</v>
      </c>
      <c r="I5" s="64">
        <f t="shared" ref="I5:I8" si="2">G5/H5</f>
        <v>3.0874198220566935</v>
      </c>
      <c r="J5" s="72">
        <f t="shared" ref="J5:J8" si="3">AVERAGE(D5,G5)</f>
        <v>30748.5</v>
      </c>
      <c r="K5" s="72">
        <f t="shared" ref="K5:K8" si="4">AVERAGE(E5,H5)</f>
        <v>9733</v>
      </c>
    </row>
    <row r="6" spans="1:11">
      <c r="B6" s="62" t="s">
        <v>1255</v>
      </c>
      <c r="C6" s="64">
        <f t="shared" si="0"/>
        <v>4.1877062706270625</v>
      </c>
      <c r="D6" s="63">
        <v>28322</v>
      </c>
      <c r="E6" s="63">
        <v>6664</v>
      </c>
      <c r="F6" s="64">
        <f t="shared" si="1"/>
        <v>4.25</v>
      </c>
      <c r="G6" s="63">
        <v>27500</v>
      </c>
      <c r="H6" s="63">
        <v>6666</v>
      </c>
      <c r="I6" s="64">
        <f t="shared" si="2"/>
        <v>4.1254125412541258</v>
      </c>
      <c r="J6" s="72">
        <f t="shared" si="3"/>
        <v>27911</v>
      </c>
      <c r="K6" s="72">
        <f t="shared" si="4"/>
        <v>6665</v>
      </c>
    </row>
    <row r="7" spans="1:11">
      <c r="B7" s="62" t="s">
        <v>1256</v>
      </c>
      <c r="C7" s="64">
        <f t="shared" si="0"/>
        <v>6.9387049836304104</v>
      </c>
      <c r="D7" s="63">
        <v>23324</v>
      </c>
      <c r="E7" s="63">
        <v>3332</v>
      </c>
      <c r="F7" s="64">
        <f t="shared" si="1"/>
        <v>7</v>
      </c>
      <c r="G7" s="63">
        <v>18906</v>
      </c>
      <c r="H7" s="63">
        <v>2749</v>
      </c>
      <c r="I7" s="64">
        <f t="shared" si="2"/>
        <v>6.8774099672608218</v>
      </c>
      <c r="J7" s="72">
        <f t="shared" si="3"/>
        <v>21115</v>
      </c>
      <c r="K7" s="72">
        <f t="shared" si="4"/>
        <v>3040.5</v>
      </c>
    </row>
    <row r="8" spans="1:11">
      <c r="B8" s="62" t="s">
        <v>131</v>
      </c>
      <c r="C8" s="64">
        <f t="shared" si="0"/>
        <v>4.8146571428571434</v>
      </c>
      <c r="D8" s="63">
        <v>24990</v>
      </c>
      <c r="E8" s="63">
        <v>5831</v>
      </c>
      <c r="F8" s="64">
        <f t="shared" si="1"/>
        <v>4.2857142857142856</v>
      </c>
      <c r="G8" s="63">
        <v>26718</v>
      </c>
      <c r="H8" s="63">
        <v>5000</v>
      </c>
      <c r="I8" s="64">
        <f t="shared" si="2"/>
        <v>5.3436000000000003</v>
      </c>
      <c r="J8" s="72">
        <f t="shared" si="3"/>
        <v>25854</v>
      </c>
      <c r="K8" s="72">
        <f t="shared" si="4"/>
        <v>5415.5</v>
      </c>
    </row>
    <row r="9" spans="1:11" ht="21.75" customHeight="1"/>
    <row r="10" spans="1:11">
      <c r="A10" s="212" t="s">
        <v>1266</v>
      </c>
      <c r="B10" s="210">
        <v>43800</v>
      </c>
      <c r="C10" s="211"/>
      <c r="D10" s="210">
        <v>43770</v>
      </c>
      <c r="E10" s="210"/>
    </row>
    <row r="11" spans="1:11">
      <c r="A11" s="212"/>
      <c r="B11" s="70" t="s">
        <v>1264</v>
      </c>
      <c r="C11" s="71" t="s">
        <v>1265</v>
      </c>
      <c r="D11" s="71" t="s">
        <v>1264</v>
      </c>
      <c r="E11" s="71" t="s">
        <v>1265</v>
      </c>
    </row>
    <row r="12" spans="1:11">
      <c r="A12" s="37"/>
      <c r="B12" s="34">
        <v>6666</v>
      </c>
      <c r="C12" s="34"/>
      <c r="D12" s="34">
        <v>17136</v>
      </c>
      <c r="E12" s="34"/>
    </row>
    <row r="13" spans="1:11">
      <c r="A13" s="37"/>
      <c r="B13" s="34">
        <v>3333</v>
      </c>
      <c r="C13" s="34"/>
      <c r="D13" s="34">
        <v>4000</v>
      </c>
      <c r="E13" s="34"/>
    </row>
    <row r="14" spans="1:11">
      <c r="A14" s="37"/>
      <c r="B14" s="34">
        <v>2000</v>
      </c>
      <c r="C14" s="34"/>
      <c r="D14" s="34">
        <v>3332</v>
      </c>
      <c r="E14" s="34"/>
    </row>
    <row r="15" spans="1:11">
      <c r="A15" s="37"/>
      <c r="B15" s="34">
        <v>4900</v>
      </c>
      <c r="C15" s="34"/>
      <c r="D15" s="34">
        <v>4200</v>
      </c>
      <c r="E15" s="34"/>
    </row>
    <row r="16" spans="1:11">
      <c r="A16" s="37"/>
      <c r="B16" s="34">
        <v>500</v>
      </c>
      <c r="C16" s="34"/>
      <c r="D16" s="34">
        <v>12852</v>
      </c>
      <c r="E16" s="34"/>
    </row>
    <row r="17" spans="1:5">
      <c r="A17" s="37"/>
      <c r="B17" s="34">
        <v>11500</v>
      </c>
      <c r="C17" s="34"/>
      <c r="D17" s="34">
        <v>20000</v>
      </c>
      <c r="E17" s="34"/>
    </row>
    <row r="18" spans="1:5">
      <c r="A18" s="37"/>
      <c r="B18" s="34">
        <v>12000</v>
      </c>
      <c r="C18" s="34"/>
      <c r="D18" s="34">
        <v>19000</v>
      </c>
      <c r="E18" s="34"/>
    </row>
    <row r="19" spans="1:5">
      <c r="A19" s="37"/>
      <c r="B19" s="34">
        <v>16000</v>
      </c>
      <c r="C19" s="34"/>
      <c r="D19" s="34">
        <v>20000</v>
      </c>
      <c r="E19" s="34"/>
    </row>
    <row r="20" spans="1:5">
      <c r="A20" s="37"/>
      <c r="B20" s="34">
        <v>16500</v>
      </c>
      <c r="C20" s="34"/>
      <c r="D20" s="34">
        <v>15000</v>
      </c>
      <c r="E20" s="34"/>
    </row>
    <row r="21" spans="1:5">
      <c r="A21" s="37"/>
      <c r="B21" s="34">
        <v>13333</v>
      </c>
      <c r="C21" s="34"/>
      <c r="D21" s="34">
        <v>7000</v>
      </c>
      <c r="E21" s="34"/>
    </row>
    <row r="22" spans="1:5">
      <c r="A22" s="37"/>
      <c r="B22" s="34">
        <v>15800</v>
      </c>
      <c r="C22" s="34"/>
      <c r="D22" s="34">
        <v>11000</v>
      </c>
      <c r="E22" s="34"/>
    </row>
    <row r="23" spans="1:5">
      <c r="A23" s="37"/>
      <c r="B23" s="34">
        <v>3333</v>
      </c>
      <c r="C23" s="34"/>
      <c r="D23" s="34">
        <v>5000</v>
      </c>
      <c r="E23" s="34"/>
    </row>
    <row r="24" spans="1:5">
      <c r="A24" s="37"/>
      <c r="B24" s="34">
        <v>2000</v>
      </c>
      <c r="C24" s="34"/>
      <c r="D24" s="34">
        <v>6300</v>
      </c>
      <c r="E24" s="34"/>
    </row>
    <row r="25" spans="1:5">
      <c r="A25" s="37"/>
      <c r="B25" s="34">
        <v>6666</v>
      </c>
      <c r="C25" s="34"/>
      <c r="D25" s="34">
        <v>5300</v>
      </c>
      <c r="E25" s="34"/>
    </row>
    <row r="26" spans="1:5">
      <c r="A26" s="37"/>
      <c r="B26" s="34">
        <v>2000</v>
      </c>
      <c r="C26" s="34"/>
      <c r="D26" s="34">
        <v>5000</v>
      </c>
      <c r="E26" s="34"/>
    </row>
    <row r="27" spans="1:5">
      <c r="A27" s="37"/>
      <c r="B27" s="34">
        <v>5800</v>
      </c>
      <c r="C27" s="34"/>
      <c r="D27" s="34">
        <v>4900</v>
      </c>
      <c r="E27" s="34"/>
    </row>
    <row r="28" spans="1:5">
      <c r="A28" s="37"/>
      <c r="B28" s="34">
        <v>1666</v>
      </c>
      <c r="C28" s="34"/>
      <c r="D28" s="34">
        <v>12852</v>
      </c>
      <c r="E28" s="34"/>
    </row>
    <row r="29" spans="1:5">
      <c r="A29" s="37"/>
      <c r="B29" s="34">
        <v>11000</v>
      </c>
      <c r="C29" s="34"/>
      <c r="D29" s="34">
        <v>14280</v>
      </c>
      <c r="E29" s="34"/>
    </row>
    <row r="30" spans="1:5">
      <c r="A30" s="37"/>
      <c r="B30" s="34">
        <v>14000</v>
      </c>
      <c r="C30" s="34"/>
      <c r="D30" s="34">
        <v>25000</v>
      </c>
      <c r="E30" s="34"/>
    </row>
    <row r="31" spans="1:5">
      <c r="A31" s="37"/>
      <c r="B31" s="34">
        <v>11666</v>
      </c>
      <c r="C31" s="34"/>
      <c r="D31" s="34">
        <v>8330</v>
      </c>
      <c r="E31" s="34"/>
    </row>
    <row r="32" spans="1:5">
      <c r="A32" s="37"/>
      <c r="D32" s="69">
        <v>3332</v>
      </c>
      <c r="E32" s="34"/>
    </row>
    <row r="33" spans="1:5">
      <c r="A33" s="37"/>
      <c r="B33" s="34">
        <v>40000</v>
      </c>
      <c r="C33" s="34"/>
      <c r="D33" s="63">
        <v>65844</v>
      </c>
      <c r="E33" s="34"/>
    </row>
    <row r="34" spans="1:5">
      <c r="A34" s="37"/>
      <c r="B34" s="34">
        <v>29843</v>
      </c>
      <c r="C34" s="34"/>
      <c r="D34" s="63">
        <v>31654</v>
      </c>
      <c r="E34" s="34"/>
    </row>
    <row r="35" spans="1:5">
      <c r="A35" s="37"/>
      <c r="B35" s="34">
        <v>27500</v>
      </c>
      <c r="C35" s="34"/>
      <c r="D35" s="63">
        <v>28322</v>
      </c>
      <c r="E35" s="34"/>
    </row>
    <row r="36" spans="1:5">
      <c r="A36" s="37"/>
      <c r="B36" s="34">
        <v>189096</v>
      </c>
      <c r="C36" s="34"/>
      <c r="D36" s="63">
        <v>23324</v>
      </c>
      <c r="E36" s="34"/>
    </row>
    <row r="37" spans="1:5">
      <c r="A37" s="37"/>
      <c r="B37" s="34">
        <v>26718</v>
      </c>
      <c r="C37" s="34"/>
      <c r="D37" s="63">
        <v>24990</v>
      </c>
      <c r="E37" s="34"/>
    </row>
    <row r="38" spans="1:5">
      <c r="A38" s="67" t="s">
        <v>1267</v>
      </c>
      <c r="B38" s="68">
        <f>SUM(B12:B37)</f>
        <v>473820</v>
      </c>
      <c r="C38" s="68"/>
      <c r="D38" s="68">
        <f>SUM(D12:D37)</f>
        <v>397948</v>
      </c>
      <c r="E38" s="68"/>
    </row>
  </sheetData>
  <sheetProtection algorithmName="SHA-512" hashValue="Ti109kSgF/8do104/2CnQmGnVDxE0+PWhOdEjAWU/eVHytTMcQ7wYXjgt1zeEOZMOr6hfyhqwjOlb67pPnaEbw==" saltValue="jtes4mDHR8GaqVUNCvIFKg==" spinCount="100000" sheet="1" objects="1" scenarios="1" selectLockedCells="1" selectUnlockedCells="1"/>
  <mergeCells count="9">
    <mergeCell ref="B1:I1"/>
    <mergeCell ref="B10:C10"/>
    <mergeCell ref="D10:E10"/>
    <mergeCell ref="A10:A11"/>
    <mergeCell ref="J2:K2"/>
    <mergeCell ref="D2:F2"/>
    <mergeCell ref="G2:I2"/>
    <mergeCell ref="B2:B3"/>
    <mergeCell ref="C2:C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L34"/>
  <sheetViews>
    <sheetView showGridLines="0" workbookViewId="0">
      <pane ySplit="2" topLeftCell="A3" activePane="bottomLeft" state="frozen"/>
      <selection pane="bottomLeft" activeCell="B3" sqref="B3:B28"/>
    </sheetView>
  </sheetViews>
  <sheetFormatPr baseColWidth="10" defaultRowHeight="14.1" customHeight="1"/>
  <cols>
    <col min="1" max="1" width="21.85546875" style="46" bestFit="1" customWidth="1"/>
    <col min="2" max="2" width="33.5703125" style="46" bestFit="1" customWidth="1"/>
    <col min="3" max="3" width="9.85546875" style="46" bestFit="1" customWidth="1"/>
    <col min="4" max="4" width="11.28515625" style="46" bestFit="1" customWidth="1"/>
    <col min="5" max="6" width="13.7109375" style="46" customWidth="1"/>
    <col min="7" max="7" width="10.42578125" style="46" bestFit="1" customWidth="1"/>
    <col min="8" max="8" width="10.42578125" style="46" customWidth="1"/>
    <col min="9" max="9" width="82" style="51" bestFit="1" customWidth="1"/>
    <col min="10" max="10" width="11.42578125" style="46"/>
    <col min="11" max="11" width="3.5703125" style="46" bestFit="1" customWidth="1"/>
    <col min="12" max="16384" width="11.42578125" style="46"/>
  </cols>
  <sheetData>
    <row r="2" spans="1:12" s="42" customFormat="1" ht="45" customHeight="1">
      <c r="A2" s="117" t="s">
        <v>1198</v>
      </c>
      <c r="B2" s="117" t="s">
        <v>1213</v>
      </c>
      <c r="C2" s="117" t="s">
        <v>1199</v>
      </c>
      <c r="D2" s="117" t="s">
        <v>1200</v>
      </c>
      <c r="E2" s="117" t="s">
        <v>1347</v>
      </c>
      <c r="F2" s="117" t="s">
        <v>1201</v>
      </c>
      <c r="G2" s="117" t="s">
        <v>1268</v>
      </c>
      <c r="H2" s="117" t="s">
        <v>1217</v>
      </c>
      <c r="I2" s="118" t="s">
        <v>1204</v>
      </c>
      <c r="J2" s="117" t="s">
        <v>1283</v>
      </c>
    </row>
    <row r="3" spans="1:12" ht="14.1" customHeight="1">
      <c r="A3" s="113" t="s">
        <v>92</v>
      </c>
      <c r="B3" s="113" t="str">
        <f>VLOOKUP(A3,Tratamientos!$H:$J,3,0)</f>
        <v>INHIBIDOR DE INCRUSTACIÓN/CORROSIÓN</v>
      </c>
      <c r="C3" s="79">
        <f>0.5*6.94+0.5*10.58</f>
        <v>8.76</v>
      </c>
      <c r="D3" s="79">
        <v>2018</v>
      </c>
      <c r="E3" s="79">
        <f>COUNTIF(Tratamientos!$H$3:$H$259,LP!A3)</f>
        <v>44</v>
      </c>
      <c r="F3" s="79" t="s">
        <v>1205</v>
      </c>
      <c r="G3" s="81">
        <f t="shared" ref="G3:G33" si="0">E3/$K$34</f>
        <v>0.17120622568093385</v>
      </c>
      <c r="H3" s="81">
        <f>G3</f>
        <v>0.17120622568093385</v>
      </c>
      <c r="I3" s="114" t="s">
        <v>1206</v>
      </c>
      <c r="J3" s="44" t="str">
        <f>VLOOKUP(B3,BCConc!$B:$E,4,0)</f>
        <v>IC/CY</v>
      </c>
    </row>
    <row r="4" spans="1:12" ht="14.1" customHeight="1">
      <c r="A4" s="113" t="s">
        <v>99</v>
      </c>
      <c r="B4" s="113" t="str">
        <f>VLOOKUP(A4,Tratamientos!$H:$J,3,0)</f>
        <v>DISOLVENTE DE PARAFINAS Y ASFALTENOS</v>
      </c>
      <c r="C4" s="79">
        <v>4.38</v>
      </c>
      <c r="D4" s="79">
        <v>2019</v>
      </c>
      <c r="E4" s="79">
        <f>COUNTIF(Tratamientos!$H$3:$H$259,LP!A4)</f>
        <v>32</v>
      </c>
      <c r="F4" s="79" t="s">
        <v>1262</v>
      </c>
      <c r="G4" s="81">
        <f t="shared" si="0"/>
        <v>0.1245136186770428</v>
      </c>
      <c r="H4" s="81">
        <f t="shared" ref="H4:H34" si="1">G4+H3</f>
        <v>0.29571984435797666</v>
      </c>
      <c r="I4" s="115" t="s">
        <v>1261</v>
      </c>
      <c r="J4" s="44" t="str">
        <f>VLOOKUP(B4,BCConc!$B:$E,4,0)</f>
        <v>DP</v>
      </c>
    </row>
    <row r="5" spans="1:12" ht="14.1" customHeight="1">
      <c r="A5" s="113" t="s">
        <v>96</v>
      </c>
      <c r="B5" s="113" t="str">
        <f>VLOOKUP(A5,Tratamientos!$H:$J,3,0)</f>
        <v>REDUCTOR DE FRICCIÓN</v>
      </c>
      <c r="C5" s="79">
        <v>4.25</v>
      </c>
      <c r="D5" s="79">
        <v>2019</v>
      </c>
      <c r="E5" s="79">
        <f>COUNTIF(Tratamientos!$H$3:$H$259,LP!A5)</f>
        <v>22</v>
      </c>
      <c r="F5" s="79" t="s">
        <v>1203</v>
      </c>
      <c r="G5" s="81">
        <f t="shared" si="0"/>
        <v>8.5603112840466927E-2</v>
      </c>
      <c r="H5" s="81">
        <f t="shared" si="1"/>
        <v>0.38132295719844356</v>
      </c>
      <c r="I5" s="114" t="s">
        <v>1263</v>
      </c>
      <c r="J5" s="44" t="str">
        <f>VLOOKUP(B5,BCConc!$B:$E,4,0)</f>
        <v>RF</v>
      </c>
    </row>
    <row r="6" spans="1:12" ht="14.1" customHeight="1">
      <c r="A6" s="113" t="s">
        <v>131</v>
      </c>
      <c r="B6" s="113" t="str">
        <f>VLOOKUP(A6,Tratamientos!$H:$J,3,0)</f>
        <v>INHIBIDOR DE INCRUSTACIONES</v>
      </c>
      <c r="C6" s="79">
        <v>4.8099999999999996</v>
      </c>
      <c r="D6" s="79">
        <v>2019</v>
      </c>
      <c r="E6" s="79">
        <f>COUNTIF(Tratamientos!$H$3:$H$259,LP!A6)</f>
        <v>16</v>
      </c>
      <c r="F6" s="79" t="s">
        <v>1262</v>
      </c>
      <c r="G6" s="81">
        <f t="shared" si="0"/>
        <v>6.2256809338521402E-2</v>
      </c>
      <c r="H6" s="81">
        <f t="shared" si="1"/>
        <v>0.44357976653696496</v>
      </c>
      <c r="I6" s="115" t="s">
        <v>1261</v>
      </c>
      <c r="J6" s="44" t="str">
        <f>VLOOKUP(B6,BCConc!$B:$E,4,0)</f>
        <v>IC</v>
      </c>
      <c r="K6" s="47"/>
      <c r="L6" s="47"/>
    </row>
    <row r="7" spans="1:12" ht="14.1" customHeight="1">
      <c r="A7" s="113" t="s">
        <v>97</v>
      </c>
      <c r="B7" s="113" t="str">
        <f>VLOOKUP(A7,Tratamientos!$H:$J,3,0)</f>
        <v>INHIBIDOR DE INCRUSTACIONES</v>
      </c>
      <c r="C7" s="79">
        <v>2.19</v>
      </c>
      <c r="D7" s="79">
        <v>2017</v>
      </c>
      <c r="E7" s="79">
        <f>COUNTIF(Tratamientos!$H$3:$H$259,LP!A7)</f>
        <v>14</v>
      </c>
      <c r="F7" s="79" t="s">
        <v>1208</v>
      </c>
      <c r="G7" s="81">
        <f t="shared" si="0"/>
        <v>5.4474708171206226E-2</v>
      </c>
      <c r="H7" s="81">
        <f t="shared" si="1"/>
        <v>0.49805447470817121</v>
      </c>
      <c r="I7" s="114" t="s">
        <v>1212</v>
      </c>
      <c r="J7" s="44" t="str">
        <f>VLOOKUP(B7,BCConc!$B:$E,4,0)</f>
        <v>IC</v>
      </c>
    </row>
    <row r="8" spans="1:12" ht="14.1" customHeight="1">
      <c r="A8" s="113" t="s">
        <v>16</v>
      </c>
      <c r="B8" s="113" t="str">
        <f>VLOOKUP(A8,Tratamientos!$H:$J,3,0)</f>
        <v>ANTIESPUMANTE</v>
      </c>
      <c r="C8" s="79">
        <v>2.5</v>
      </c>
      <c r="D8" s="79"/>
      <c r="E8" s="79">
        <f>COUNTIF(Tratamientos!$H$3:$H$259,LP!A8)</f>
        <v>14</v>
      </c>
      <c r="F8" s="79"/>
      <c r="G8" s="81">
        <f t="shared" si="0"/>
        <v>5.4474708171206226E-2</v>
      </c>
      <c r="H8" s="81">
        <f t="shared" si="1"/>
        <v>0.55252918287937747</v>
      </c>
      <c r="I8" s="114" t="s">
        <v>1221</v>
      </c>
      <c r="J8" s="44" t="str">
        <f>VLOOKUP(B8,BCConc!$B:$E,4,0)</f>
        <v>AB</v>
      </c>
    </row>
    <row r="9" spans="1:12" ht="14.1" customHeight="1">
      <c r="A9" s="113" t="s">
        <v>100</v>
      </c>
      <c r="B9" s="113" t="str">
        <f>VLOOKUP(A9,Tratamientos!$H:$J,3,0)</f>
        <v>DESEMULSIONANTE</v>
      </c>
      <c r="C9" s="79">
        <v>3.16</v>
      </c>
      <c r="D9" s="79"/>
      <c r="E9" s="79">
        <f>COUNTIF(Tratamientos!$H$3:$H$259,LP!A9)</f>
        <v>13</v>
      </c>
      <c r="F9" s="79" t="s">
        <v>1262</v>
      </c>
      <c r="G9" s="81">
        <f t="shared" si="0"/>
        <v>5.0583657587548639E-2</v>
      </c>
      <c r="H9" s="81">
        <f t="shared" si="1"/>
        <v>0.60311284046692615</v>
      </c>
      <c r="I9" s="114" t="s">
        <v>1261</v>
      </c>
      <c r="J9" s="44" t="str">
        <f>VLOOKUP(B9,BCConc!$B:$E,4,0)</f>
        <v>DB</v>
      </c>
    </row>
    <row r="10" spans="1:12" ht="14.1" customHeight="1">
      <c r="A10" s="113" t="s">
        <v>101</v>
      </c>
      <c r="B10" s="113" t="str">
        <f>VLOOKUP(A10,Tratamientos!$H:$J,3,0)</f>
        <v>DESEMULSIONANTE</v>
      </c>
      <c r="C10" s="79">
        <v>4</v>
      </c>
      <c r="D10" s="79"/>
      <c r="E10" s="79">
        <f>COUNTIF(Tratamientos!$H$3:$H$259,LP!A10)</f>
        <v>13</v>
      </c>
      <c r="F10" s="79"/>
      <c r="G10" s="81">
        <f t="shared" si="0"/>
        <v>5.0583657587548639E-2</v>
      </c>
      <c r="H10" s="81">
        <f t="shared" si="1"/>
        <v>0.65369649805447483</v>
      </c>
      <c r="I10" s="114" t="s">
        <v>1221</v>
      </c>
      <c r="J10" s="44" t="str">
        <f>VLOOKUP(B10,BCConc!$B:$E,4,0)</f>
        <v>DB</v>
      </c>
    </row>
    <row r="11" spans="1:12" ht="14.1" customHeight="1">
      <c r="A11" s="113" t="s">
        <v>91</v>
      </c>
      <c r="B11" s="113" t="str">
        <f>VLOOKUP(A11,Tratamientos!$H:$J,3,0)</f>
        <v>INHIBIDOR DE INCRUSTACIONES</v>
      </c>
      <c r="C11" s="79">
        <v>10.58</v>
      </c>
      <c r="D11" s="79">
        <v>2018</v>
      </c>
      <c r="E11" s="79">
        <f>COUNTIF(Tratamientos!$H$3:$H$259,LP!A11)</f>
        <v>10</v>
      </c>
      <c r="F11" s="79" t="s">
        <v>1205</v>
      </c>
      <c r="G11" s="81">
        <f t="shared" si="0"/>
        <v>3.8910505836575876E-2</v>
      </c>
      <c r="H11" s="81">
        <f t="shared" si="1"/>
        <v>0.69260700389105068</v>
      </c>
      <c r="I11" s="114"/>
      <c r="J11" s="44" t="str">
        <f>VLOOKUP(B11,BCConc!$B:$E,4,0)</f>
        <v>IC</v>
      </c>
    </row>
    <row r="12" spans="1:12" ht="14.1" customHeight="1">
      <c r="A12" s="113" t="s">
        <v>18</v>
      </c>
      <c r="B12" s="113" t="str">
        <f>VLOOKUP(A12,Tratamientos!$H:$J,3,0)</f>
        <v>INHIBIDOR DE CORROSIÓN</v>
      </c>
      <c r="C12" s="79">
        <v>2.65</v>
      </c>
      <c r="D12" s="79">
        <v>2017</v>
      </c>
      <c r="E12" s="79">
        <f>COUNTIF(Tratamientos!$H$3:$H$259,LP!A12)</f>
        <v>8</v>
      </c>
      <c r="F12" s="79" t="s">
        <v>1207</v>
      </c>
      <c r="G12" s="81">
        <f t="shared" si="0"/>
        <v>3.1128404669260701E-2</v>
      </c>
      <c r="H12" s="81">
        <f t="shared" si="1"/>
        <v>0.72373540856031138</v>
      </c>
      <c r="I12" s="114"/>
      <c r="J12" s="44" t="str">
        <f>VLOOKUP(B12,BCConc!$B:$E,4,0)</f>
        <v>CY</v>
      </c>
    </row>
    <row r="13" spans="1:12" ht="14.1" customHeight="1">
      <c r="A13" s="113" t="s">
        <v>133</v>
      </c>
      <c r="B13" s="113" t="str">
        <f>VLOOKUP(A13,Tratamientos!$H:$J,3,0)</f>
        <v>DESEMULSIONANTE</v>
      </c>
      <c r="C13" s="79">
        <v>4</v>
      </c>
      <c r="D13" s="79"/>
      <c r="E13" s="79">
        <f>COUNTIF(Tratamientos!$H$3:$H$259,LP!A13)</f>
        <v>8</v>
      </c>
      <c r="F13" s="79"/>
      <c r="G13" s="81">
        <f t="shared" si="0"/>
        <v>3.1128404669260701E-2</v>
      </c>
      <c r="H13" s="81">
        <f t="shared" si="1"/>
        <v>0.75486381322957208</v>
      </c>
      <c r="I13" s="114" t="s">
        <v>1221</v>
      </c>
      <c r="J13" s="44" t="str">
        <f>VLOOKUP(B13,BCConc!$B:$E,4,0)</f>
        <v>DB</v>
      </c>
    </row>
    <row r="14" spans="1:12" ht="14.1" customHeight="1">
      <c r="A14" s="113" t="s">
        <v>93</v>
      </c>
      <c r="B14" s="113" t="str">
        <f>VLOOKUP(A14,Tratamientos!$H:$J,3,0)</f>
        <v>INHIBIDOR DE CORROSIÓN</v>
      </c>
      <c r="C14" s="79">
        <v>6.94</v>
      </c>
      <c r="D14" s="79">
        <v>2019</v>
      </c>
      <c r="E14" s="79">
        <f>COUNTIF(Tratamientos!$H$3:$H$259,LP!A14)</f>
        <v>8</v>
      </c>
      <c r="F14" s="79" t="s">
        <v>1262</v>
      </c>
      <c r="G14" s="81">
        <f t="shared" si="0"/>
        <v>3.1128404669260701E-2</v>
      </c>
      <c r="H14" s="81">
        <f t="shared" si="1"/>
        <v>0.78599221789883278</v>
      </c>
      <c r="I14" s="114" t="s">
        <v>1261</v>
      </c>
      <c r="J14" s="44" t="str">
        <f>VLOOKUP(B14,BCConc!$B:$E,4,0)</f>
        <v>CY</v>
      </c>
    </row>
    <row r="15" spans="1:12" ht="14.1" customHeight="1">
      <c r="A15" s="113" t="s">
        <v>132</v>
      </c>
      <c r="B15" s="113" t="str">
        <f>VLOOKUP(A15,Tratamientos!$H:$J,3,0)</f>
        <v>INHIBIDOR DE PARAFINAS Y ASFALTENOS</v>
      </c>
      <c r="C15" s="79">
        <v>5.47</v>
      </c>
      <c r="D15" s="79">
        <v>2019</v>
      </c>
      <c r="E15" s="79">
        <f>COUNTIF(Tratamientos!$H$3:$H$259,LP!A15)</f>
        <v>7</v>
      </c>
      <c r="F15" s="79" t="s">
        <v>1214</v>
      </c>
      <c r="G15" s="81">
        <f t="shared" si="0"/>
        <v>2.7237354085603113E-2</v>
      </c>
      <c r="H15" s="81">
        <f t="shared" si="1"/>
        <v>0.81322957198443591</v>
      </c>
      <c r="I15" s="114" t="s">
        <v>1215</v>
      </c>
      <c r="J15" s="44" t="str">
        <f>VLOOKUP(B15,BCConc!$B:$E,4,0)</f>
        <v>IP</v>
      </c>
    </row>
    <row r="16" spans="1:12" ht="14.1" customHeight="1">
      <c r="A16" s="43" t="s">
        <v>98</v>
      </c>
      <c r="B16" s="113" t="str">
        <f>VLOOKUP(A16,Tratamientos!$H:$J,3,0)</f>
        <v>BACTERICIDA</v>
      </c>
      <c r="C16" s="79">
        <v>6.94</v>
      </c>
      <c r="D16" s="116">
        <v>43525</v>
      </c>
      <c r="E16" s="79">
        <f>COUNTIF(Tratamientos!$H$3:$H$259,LP!A16)</f>
        <v>7</v>
      </c>
      <c r="F16" s="79" t="s">
        <v>1202</v>
      </c>
      <c r="G16" s="81">
        <f t="shared" si="0"/>
        <v>2.7237354085603113E-2</v>
      </c>
      <c r="H16" s="81">
        <f t="shared" si="1"/>
        <v>0.84046692607003903</v>
      </c>
      <c r="I16" s="114" t="s">
        <v>1211</v>
      </c>
      <c r="J16" s="44" t="str">
        <f>VLOOKUP(B16,BCConc!$B:$E,4,0)</f>
        <v>BX</v>
      </c>
    </row>
    <row r="17" spans="1:10" ht="14.1" customHeight="1">
      <c r="A17" s="43" t="s">
        <v>88</v>
      </c>
      <c r="B17" s="113" t="str">
        <f>VLOOKUP(A17,Tratamientos!$H:$J,3,0)</f>
        <v>INHIBIDOR DE CORROSIÓN</v>
      </c>
      <c r="C17" s="79">
        <v>2.66</v>
      </c>
      <c r="D17" s="79">
        <v>2017</v>
      </c>
      <c r="E17" s="79">
        <f>COUNTIF(Tratamientos!$H$3:$H$259,LP!A17)</f>
        <v>7</v>
      </c>
      <c r="F17" s="79" t="s">
        <v>1207</v>
      </c>
      <c r="G17" s="81">
        <f t="shared" si="0"/>
        <v>2.7237354085603113E-2</v>
      </c>
      <c r="H17" s="81">
        <f t="shared" si="1"/>
        <v>0.86770428015564216</v>
      </c>
      <c r="I17" s="114"/>
      <c r="J17" s="44" t="str">
        <f>VLOOKUP(B17,BCConc!$B:$E,4,0)</f>
        <v>CY</v>
      </c>
    </row>
    <row r="18" spans="1:10" ht="14.1" customHeight="1">
      <c r="A18" s="43" t="s">
        <v>102</v>
      </c>
      <c r="B18" s="113" t="str">
        <f>VLOOKUP(A18,Tratamientos!$H:$J,3,0)</f>
        <v>SECUESTRANTE DE SULFHÍDRICO</v>
      </c>
      <c r="C18" s="79">
        <v>1.88</v>
      </c>
      <c r="D18" s="79">
        <v>2017</v>
      </c>
      <c r="E18" s="79">
        <f>COUNTIF(Tratamientos!$H$3:$H$259,LP!A18)</f>
        <v>6</v>
      </c>
      <c r="F18" s="79" t="s">
        <v>1207</v>
      </c>
      <c r="G18" s="81">
        <f t="shared" si="0"/>
        <v>2.3346303501945526E-2</v>
      </c>
      <c r="H18" s="81">
        <f t="shared" si="1"/>
        <v>0.89105058365758771</v>
      </c>
      <c r="I18" s="114"/>
      <c r="J18" s="44" t="str">
        <f>VLOOKUP(B18,BCConc!$B:$E,4,0)</f>
        <v>BS</v>
      </c>
    </row>
    <row r="19" spans="1:10" ht="14.1" customHeight="1">
      <c r="A19" s="43" t="s">
        <v>9</v>
      </c>
      <c r="B19" s="113" t="str">
        <f>VLOOKUP(A19,Tratamientos!$H:$J,3,0)</f>
        <v>BACTERICIDA</v>
      </c>
      <c r="C19" s="79">
        <v>5.7</v>
      </c>
      <c r="D19" s="79">
        <v>2017</v>
      </c>
      <c r="E19" s="79">
        <f>COUNTIF(Tratamientos!$H$3:$H$259,LP!A19)</f>
        <v>4</v>
      </c>
      <c r="F19" s="79" t="s">
        <v>1208</v>
      </c>
      <c r="G19" s="81">
        <f t="shared" si="0"/>
        <v>1.556420233463035E-2</v>
      </c>
      <c r="H19" s="81">
        <f t="shared" si="1"/>
        <v>0.90661478599221801</v>
      </c>
      <c r="I19" s="114"/>
      <c r="J19" s="44" t="str">
        <f>VLOOKUP(B19,BCConc!$B:$E,4,0)</f>
        <v>BX</v>
      </c>
    </row>
    <row r="20" spans="1:10" ht="14.1" customHeight="1">
      <c r="A20" s="48" t="s">
        <v>28</v>
      </c>
      <c r="B20" s="113" t="str">
        <f>VLOOKUP(A20,Tratamientos!$H:$J,3,0)</f>
        <v>HUMECTANTE DE SOLIDOS</v>
      </c>
      <c r="C20" s="79">
        <v>4.41</v>
      </c>
      <c r="D20" s="79">
        <v>2019</v>
      </c>
      <c r="E20" s="79">
        <f>COUNTIF(Tratamientos!$H$3:$H$259,LP!A20)</f>
        <v>4</v>
      </c>
      <c r="F20" s="79" t="s">
        <v>1203</v>
      </c>
      <c r="G20" s="81">
        <f t="shared" si="0"/>
        <v>1.556420233463035E-2</v>
      </c>
      <c r="H20" s="81">
        <f t="shared" si="1"/>
        <v>0.9221789883268483</v>
      </c>
      <c r="I20" s="114" t="s">
        <v>1210</v>
      </c>
      <c r="J20" s="44" t="str">
        <f>VLOOKUP(B20,BCConc!$B:$E,4,0)</f>
        <v>HS</v>
      </c>
    </row>
    <row r="21" spans="1:10" ht="14.1" customHeight="1">
      <c r="A21" s="43" t="s">
        <v>129</v>
      </c>
      <c r="B21" s="113" t="str">
        <f>VLOOKUP(A21,Tratamientos!$H:$J,3,0)</f>
        <v>RUPTOR</v>
      </c>
      <c r="C21" s="79">
        <v>5.44</v>
      </c>
      <c r="D21" s="79">
        <v>2017</v>
      </c>
      <c r="E21" s="79">
        <f>COUNTIF(Tratamientos!$H$3:$H$259,LP!A21)</f>
        <v>4</v>
      </c>
      <c r="F21" s="79" t="s">
        <v>1208</v>
      </c>
      <c r="G21" s="81">
        <f t="shared" si="0"/>
        <v>1.556420233463035E-2</v>
      </c>
      <c r="H21" s="81">
        <f t="shared" si="1"/>
        <v>0.9377431906614786</v>
      </c>
      <c r="I21" s="114"/>
      <c r="J21" s="44" t="str">
        <f>VLOOKUP(B21,BCConc!$B:$E,4,0)</f>
        <v>RT</v>
      </c>
    </row>
    <row r="22" spans="1:10" ht="14.1" customHeight="1">
      <c r="A22" s="48" t="s">
        <v>130</v>
      </c>
      <c r="B22" s="113" t="str">
        <f>VLOOKUP(A22,Tratamientos!$H:$J,3,0)</f>
        <v>FLOCULANTE</v>
      </c>
      <c r="C22" s="79">
        <v>6.04</v>
      </c>
      <c r="D22" s="79">
        <v>2017</v>
      </c>
      <c r="E22" s="79">
        <f>COUNTIF(Tratamientos!$H$3:$H$259,LP!A22)</f>
        <v>3</v>
      </c>
      <c r="F22" s="79" t="s">
        <v>1208</v>
      </c>
      <c r="G22" s="81">
        <f t="shared" si="0"/>
        <v>1.1673151750972763E-2</v>
      </c>
      <c r="H22" s="81">
        <f t="shared" si="1"/>
        <v>0.94941634241245132</v>
      </c>
      <c r="I22" s="114" t="s">
        <v>1209</v>
      </c>
      <c r="J22" s="44" t="str">
        <f>VLOOKUP(B22,BCConc!$B:$E,4,0)</f>
        <v>FB</v>
      </c>
    </row>
    <row r="23" spans="1:10" ht="14.1" customHeight="1">
      <c r="A23" s="48" t="s">
        <v>124</v>
      </c>
      <c r="B23" s="113" t="str">
        <f>VLOOKUP(A23,Tratamientos!$H:$J,3,0)</f>
        <v>DESEMULSIONANTE</v>
      </c>
      <c r="C23" s="79">
        <v>2.79</v>
      </c>
      <c r="D23" s="79">
        <v>2016</v>
      </c>
      <c r="E23" s="79">
        <f>COUNTIF(Tratamientos!$H$3:$H$259,LP!A23)</f>
        <v>3</v>
      </c>
      <c r="F23" s="79" t="s">
        <v>1219</v>
      </c>
      <c r="G23" s="81">
        <f t="shared" si="0"/>
        <v>1.1673151750972763E-2</v>
      </c>
      <c r="H23" s="81">
        <f t="shared" si="1"/>
        <v>0.96108949416342404</v>
      </c>
      <c r="I23" s="114" t="s">
        <v>1220</v>
      </c>
      <c r="J23" s="44" t="str">
        <f>VLOOKUP(B23,BCConc!$B:$E,4,0)</f>
        <v>DB</v>
      </c>
    </row>
    <row r="24" spans="1:10" ht="14.1" customHeight="1">
      <c r="A24" s="48" t="s">
        <v>110</v>
      </c>
      <c r="B24" s="113" t="str">
        <f>VLOOKUP(A24,Tratamientos!$H:$J,3,0)</f>
        <v>CLARIFICANTE</v>
      </c>
      <c r="C24" s="79">
        <v>8.3000000000000007</v>
      </c>
      <c r="D24" s="79">
        <v>2017</v>
      </c>
      <c r="E24" s="79">
        <f>COUNTIF(Tratamientos!$H$3:$H$259,LP!A24)</f>
        <v>1</v>
      </c>
      <c r="F24" s="79" t="s">
        <v>1208</v>
      </c>
      <c r="G24" s="81">
        <f t="shared" si="0"/>
        <v>3.8910505836575876E-3</v>
      </c>
      <c r="H24" s="81">
        <f t="shared" si="1"/>
        <v>0.96498054474708161</v>
      </c>
      <c r="I24" s="114"/>
      <c r="J24" s="44" t="str">
        <f>VLOOKUP(B24,BCConc!$B:$E,4,0)</f>
        <v>FB</v>
      </c>
    </row>
    <row r="25" spans="1:10" ht="14.1" customHeight="1">
      <c r="A25" s="43" t="s">
        <v>123</v>
      </c>
      <c r="B25" s="113" t="str">
        <f>VLOOKUP(A25,Tratamientos!$H:$J,3,0)</f>
        <v>REDUCTOR DE FRICCIÓN</v>
      </c>
      <c r="C25" s="79">
        <v>2.79</v>
      </c>
      <c r="D25" s="79">
        <v>2017</v>
      </c>
      <c r="E25" s="79">
        <f>COUNTIF(Tratamientos!$H$3:$H$259,LP!A25)</f>
        <v>1</v>
      </c>
      <c r="F25" s="79" t="s">
        <v>1208</v>
      </c>
      <c r="G25" s="81">
        <f t="shared" si="0"/>
        <v>3.8910505836575876E-3</v>
      </c>
      <c r="H25" s="81">
        <f t="shared" si="1"/>
        <v>0.96887159533073919</v>
      </c>
      <c r="I25" s="114"/>
      <c r="J25" s="44" t="str">
        <f>VLOOKUP(B25,BCConc!$B:$E,4,0)</f>
        <v>RF</v>
      </c>
    </row>
    <row r="26" spans="1:10" ht="14.1" customHeight="1">
      <c r="A26" s="43" t="s">
        <v>57</v>
      </c>
      <c r="B26" s="43" t="str">
        <f>VLOOKUP(A26,Tratamientos!$H:$J,3,0)</f>
        <v>SECUESTRANTE DE OXIGENO</v>
      </c>
      <c r="C26" s="44">
        <v>1.27</v>
      </c>
      <c r="D26" s="44">
        <v>2017</v>
      </c>
      <c r="E26" s="44">
        <f>COUNTIF(Tratamientos!$H$3:$H$259,LP!A26)</f>
        <v>1</v>
      </c>
      <c r="F26" s="44" t="s">
        <v>1207</v>
      </c>
      <c r="G26" s="45">
        <f t="shared" si="0"/>
        <v>3.8910505836575876E-3</v>
      </c>
      <c r="H26" s="45">
        <f t="shared" si="1"/>
        <v>0.97276264591439676</v>
      </c>
      <c r="I26" s="87"/>
      <c r="J26" s="44" t="str">
        <f>VLOOKUP(B26,BCConc!$B:$E,4,0)</f>
        <v>SO</v>
      </c>
    </row>
    <row r="27" spans="1:10" ht="14.1" customHeight="1">
      <c r="A27" s="43" t="s">
        <v>127</v>
      </c>
      <c r="B27" s="43" t="str">
        <f>VLOOKUP(A27,Tratamientos!$H:$J,3,0)</f>
        <v>CLARIFICANTE</v>
      </c>
      <c r="C27" s="44">
        <v>3.9</v>
      </c>
      <c r="D27" s="44">
        <v>2017</v>
      </c>
      <c r="E27" s="44">
        <f>COUNTIF(Tratamientos!$H$3:$H$259,LP!A27)</f>
        <v>1</v>
      </c>
      <c r="F27" s="44" t="s">
        <v>1208</v>
      </c>
      <c r="G27" s="45">
        <f t="shared" si="0"/>
        <v>3.8910505836575876E-3</v>
      </c>
      <c r="H27" s="45">
        <f t="shared" si="1"/>
        <v>0.97665369649805434</v>
      </c>
      <c r="I27" s="87"/>
      <c r="J27" s="44" t="str">
        <f>VLOOKUP(B27,BCConc!$B:$E,4,0)</f>
        <v>FB</v>
      </c>
    </row>
    <row r="28" spans="1:10" ht="14.1" customHeight="1">
      <c r="A28" s="43" t="s">
        <v>134</v>
      </c>
      <c r="B28" s="43" t="str">
        <f>VLOOKUP(A28,Tratamientos!$H:$J,3,0)</f>
        <v>DESEMULSIONANTE</v>
      </c>
      <c r="C28" s="44">
        <v>5.07</v>
      </c>
      <c r="D28" s="44">
        <v>2019</v>
      </c>
      <c r="E28" s="44">
        <f>COUNTIF(Tratamientos!$H$3:$H$259,LP!A28)</f>
        <v>1</v>
      </c>
      <c r="F28" s="44" t="s">
        <v>1214</v>
      </c>
      <c r="G28" s="45">
        <f t="shared" si="0"/>
        <v>3.8910505836575876E-3</v>
      </c>
      <c r="H28" s="45">
        <f t="shared" si="1"/>
        <v>0.98054474708171191</v>
      </c>
      <c r="I28" s="87" t="s">
        <v>1216</v>
      </c>
      <c r="J28" s="44" t="str">
        <f>VLOOKUP(B28,BCConc!$B:$E,4,0)</f>
        <v>DB</v>
      </c>
    </row>
    <row r="29" spans="1:10" ht="14.1" customHeight="1">
      <c r="A29" s="43" t="s">
        <v>77</v>
      </c>
      <c r="B29" s="43" t="str">
        <f>VLOOKUP(A29,Tratamientos!$H:$J,3,0)</f>
        <v>FLOCULANTE</v>
      </c>
      <c r="C29" s="44">
        <v>6</v>
      </c>
      <c r="D29" s="44"/>
      <c r="E29" s="44">
        <f>COUNTIF(Tratamientos!$H$3:$H$259,LP!A29)</f>
        <v>1</v>
      </c>
      <c r="F29" s="44"/>
      <c r="G29" s="45">
        <f t="shared" si="0"/>
        <v>3.8910505836575876E-3</v>
      </c>
      <c r="H29" s="45">
        <f t="shared" si="1"/>
        <v>0.98443579766536948</v>
      </c>
      <c r="I29" s="87" t="s">
        <v>1221</v>
      </c>
      <c r="J29" s="44" t="str">
        <f>VLOOKUP(B29,BCConc!$B:$E,4,0)</f>
        <v>FB</v>
      </c>
    </row>
    <row r="30" spans="1:10" ht="14.1" customHeight="1">
      <c r="A30" s="43" t="s">
        <v>136</v>
      </c>
      <c r="B30" s="43" t="str">
        <f>VLOOKUP(A30,Tratamientos!$H:$J,3,0)</f>
        <v>REDUCTOR DE FRICCIÓN</v>
      </c>
      <c r="C30" s="44">
        <v>4</v>
      </c>
      <c r="D30" s="44"/>
      <c r="E30" s="44">
        <f>COUNTIF(Tratamientos!$H$3:$H$259,LP!A30)</f>
        <v>1</v>
      </c>
      <c r="F30" s="44"/>
      <c r="G30" s="45">
        <f t="shared" si="0"/>
        <v>3.8910505836575876E-3</v>
      </c>
      <c r="H30" s="45">
        <f t="shared" si="1"/>
        <v>0.98832684824902706</v>
      </c>
      <c r="I30" s="87" t="s">
        <v>1221</v>
      </c>
      <c r="J30" s="44" t="str">
        <f>VLOOKUP(B30,BCConc!$B:$E,4,0)</f>
        <v>RF</v>
      </c>
    </row>
    <row r="31" spans="1:10" ht="14.1" customHeight="1">
      <c r="A31" s="43" t="s">
        <v>151</v>
      </c>
      <c r="B31" s="43" t="str">
        <f>VLOOKUP(A31,Tratamientos!$H:$J,3,0)</f>
        <v>REDUCTOR DE VISCOSIDAD</v>
      </c>
      <c r="C31" s="44">
        <v>10.02</v>
      </c>
      <c r="D31" s="44">
        <v>2019</v>
      </c>
      <c r="E31" s="44">
        <f>COUNTIF(Tratamientos!$H$3:$H$259,LP!A31)</f>
        <v>1</v>
      </c>
      <c r="F31" s="44" t="s">
        <v>1203</v>
      </c>
      <c r="G31" s="45">
        <f t="shared" si="0"/>
        <v>3.8910505836575876E-3</v>
      </c>
      <c r="H31" s="45">
        <f t="shared" si="1"/>
        <v>0.99221789883268463</v>
      </c>
      <c r="I31" s="87"/>
      <c r="J31" s="44" t="str">
        <f>VLOOKUP(B31,BCConc!$B:$E,4,0)</f>
        <v>RV</v>
      </c>
    </row>
    <row r="32" spans="1:10" ht="14.1" customHeight="1">
      <c r="A32" s="43" t="s">
        <v>142</v>
      </c>
      <c r="B32" s="43" t="str">
        <f>VLOOKUP(A32,Tratamientos!$H:$J,3,0)</f>
        <v>DISOLVENTE DE PARAFINAS Y ASFALTENOS</v>
      </c>
      <c r="C32" s="44">
        <v>3.74</v>
      </c>
      <c r="D32" s="44">
        <v>2019</v>
      </c>
      <c r="E32" s="44">
        <f>COUNTIF(Tratamientos!$H$3:$H$259,LP!A32)</f>
        <v>1</v>
      </c>
      <c r="F32" s="44" t="s">
        <v>1214</v>
      </c>
      <c r="G32" s="45">
        <f t="shared" si="0"/>
        <v>3.8910505836575876E-3</v>
      </c>
      <c r="H32" s="45">
        <f t="shared" si="1"/>
        <v>0.9961089494163422</v>
      </c>
      <c r="I32" s="87" t="s">
        <v>1218</v>
      </c>
      <c r="J32" s="44" t="str">
        <f>VLOOKUP(B32,BCConc!$B:$E,4,0)</f>
        <v>DP</v>
      </c>
    </row>
    <row r="33" spans="1:11" ht="14.1" customHeight="1">
      <c r="A33" s="43" t="s">
        <v>143</v>
      </c>
      <c r="B33" s="43" t="str">
        <f>VLOOKUP(A33,Tratamientos!$H:$J,3,0)</f>
        <v>INHIBIDOR DE INCRUSTACIÓN/CORROSIÓN</v>
      </c>
      <c r="C33" s="44">
        <v>10.975</v>
      </c>
      <c r="D33" s="44"/>
      <c r="E33" s="44">
        <f>COUNTIF(Tratamientos!$H$3:$H$259,LP!A33)</f>
        <v>1</v>
      </c>
      <c r="F33" s="44"/>
      <c r="G33" s="45">
        <f t="shared" si="0"/>
        <v>3.8910505836575876E-3</v>
      </c>
      <c r="H33" s="45">
        <f t="shared" si="1"/>
        <v>0.99999999999999978</v>
      </c>
      <c r="I33" s="87" t="s">
        <v>1221</v>
      </c>
      <c r="J33" s="44" t="str">
        <f>VLOOKUP(B33,BCConc!$B:$E,4,0)</f>
        <v>IC/CY</v>
      </c>
    </row>
    <row r="34" spans="1:11" ht="14.1" customHeight="1">
      <c r="A34" s="49"/>
      <c r="B34" s="119"/>
      <c r="C34" s="49"/>
      <c r="D34" s="49"/>
      <c r="E34" s="49"/>
      <c r="F34" s="49"/>
      <c r="G34" s="50"/>
      <c r="H34" s="45">
        <f t="shared" si="1"/>
        <v>0.99999999999999978</v>
      </c>
      <c r="I34" s="52"/>
      <c r="J34" s="49"/>
      <c r="K34" s="49">
        <f>SUM(E3:E33)</f>
        <v>257</v>
      </c>
    </row>
  </sheetData>
  <autoFilter ref="A2:I34" xr:uid="{00000000-0009-0000-0000-000006000000}">
    <sortState xmlns:xlrd2="http://schemas.microsoft.com/office/spreadsheetml/2017/richdata2" ref="A3:I34">
      <sortCondition descending="1" ref="G2:G34"/>
    </sortState>
  </autoFilter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AE120"/>
  <sheetViews>
    <sheetView showGridLines="0" zoomScale="85" zoomScaleNormal="85" workbookViewId="0">
      <selection activeCell="L37" sqref="L37"/>
    </sheetView>
  </sheetViews>
  <sheetFormatPr baseColWidth="10" defaultRowHeight="11.25"/>
  <cols>
    <col min="1" max="1" width="19.7109375" style="46" bestFit="1" customWidth="1"/>
    <col min="2" max="2" width="35.7109375" style="46" bestFit="1" customWidth="1"/>
    <col min="3" max="3" width="10.5703125" style="46" bestFit="1" customWidth="1"/>
    <col min="4" max="4" width="11.42578125" style="46" bestFit="1" customWidth="1"/>
    <col min="5" max="5" width="10.5703125" style="46" bestFit="1" customWidth="1"/>
    <col min="6" max="6" width="9.42578125" style="46" bestFit="1" customWidth="1"/>
    <col min="7" max="7" width="9.5703125" style="74" bestFit="1" customWidth="1"/>
    <col min="8" max="8" width="11.42578125" style="74" bestFit="1" customWidth="1"/>
    <col min="9" max="9" width="1.5703125" style="74" customWidth="1"/>
    <col min="10" max="10" width="3" style="46" customWidth="1"/>
    <col min="11" max="11" width="20.42578125" style="46" customWidth="1"/>
    <col min="12" max="12" width="7.85546875" style="46" customWidth="1"/>
    <col min="13" max="13" width="5.7109375" style="46" customWidth="1"/>
    <col min="14" max="14" width="19.7109375" style="46" bestFit="1" customWidth="1"/>
    <col min="15" max="15" width="9" style="46" customWidth="1"/>
    <col min="16" max="21" width="11.42578125" style="46"/>
    <col min="22" max="22" width="15.5703125" style="46" customWidth="1"/>
    <col min="23" max="23" width="11.42578125" style="46"/>
    <col min="24" max="24" width="17.5703125" style="46" bestFit="1" customWidth="1"/>
    <col min="25" max="25" width="26" style="46" bestFit="1" customWidth="1"/>
    <col min="26" max="26" width="12.28515625" style="46" bestFit="1" customWidth="1"/>
    <col min="27" max="27" width="9.28515625" style="46" bestFit="1" customWidth="1"/>
    <col min="28" max="28" width="11.28515625" style="46" bestFit="1" customWidth="1"/>
    <col min="29" max="30" width="12.28515625" style="46" bestFit="1" customWidth="1"/>
    <col min="31" max="31" width="12.5703125" style="46" bestFit="1" customWidth="1"/>
    <col min="32" max="16384" width="11.42578125" style="46"/>
  </cols>
  <sheetData>
    <row r="1" spans="1:28" ht="24" customHeight="1">
      <c r="J1" s="218" t="s">
        <v>1284</v>
      </c>
      <c r="K1" s="218"/>
      <c r="L1" s="218"/>
      <c r="M1" s="218"/>
      <c r="N1" s="218"/>
      <c r="O1" s="218"/>
      <c r="P1" s="218"/>
      <c r="Q1" s="218"/>
      <c r="R1" s="218"/>
      <c r="S1" s="218"/>
      <c r="T1" s="218"/>
      <c r="U1" s="218"/>
      <c r="V1" s="218"/>
      <c r="W1" s="218"/>
      <c r="X1" s="218"/>
      <c r="Z1" s="46" t="str">
        <f>'Mercado YPF'!C34</f>
        <v>Venta [USD]</v>
      </c>
      <c r="AB1" s="46" t="str">
        <f>'Mercado YPF'!J34</f>
        <v>Venta [lts]</v>
      </c>
    </row>
    <row r="2" spans="1:28">
      <c r="K2" s="219" t="s">
        <v>1279</v>
      </c>
      <c r="L2" s="220"/>
      <c r="M2" s="221"/>
      <c r="N2" s="222" t="s">
        <v>1280</v>
      </c>
      <c r="O2" s="222"/>
      <c r="P2" s="222"/>
    </row>
    <row r="3" spans="1:28" s="42" customFormat="1" ht="54.75" customHeight="1">
      <c r="A3" s="76" t="s">
        <v>1236</v>
      </c>
      <c r="B3" s="76" t="s">
        <v>1213</v>
      </c>
      <c r="C3" s="76" t="s">
        <v>1274</v>
      </c>
      <c r="D3" s="76" t="s">
        <v>1273</v>
      </c>
      <c r="E3" s="76" t="s">
        <v>1275</v>
      </c>
      <c r="F3" s="76" t="s">
        <v>1276</v>
      </c>
      <c r="G3" s="77" t="s">
        <v>1271</v>
      </c>
      <c r="H3" s="77" t="s">
        <v>1277</v>
      </c>
      <c r="I3" s="78"/>
      <c r="K3" s="41" t="s">
        <v>1198</v>
      </c>
      <c r="L3" s="41" t="s">
        <v>1278</v>
      </c>
      <c r="M3" s="41" t="s">
        <v>1282</v>
      </c>
      <c r="N3" s="41" t="s">
        <v>1198</v>
      </c>
      <c r="O3" s="41" t="s">
        <v>1281</v>
      </c>
      <c r="P3" s="41" t="s">
        <v>1282</v>
      </c>
      <c r="Y3" s="217" t="s">
        <v>1275</v>
      </c>
      <c r="Z3" s="217"/>
      <c r="AA3" s="217" t="s">
        <v>1270</v>
      </c>
      <c r="AB3" s="217"/>
    </row>
    <row r="4" spans="1:28">
      <c r="A4" s="79" t="s">
        <v>99</v>
      </c>
      <c r="B4" s="79" t="str">
        <f>VLOOKUP(A4,LP!$A:$B,2,0)</f>
        <v>DISOLVENTE DE PARAFINAS Y ASFALTENOS</v>
      </c>
      <c r="C4" s="80">
        <f>SUMIF(Tratamientos!$H:$H,Análisis!$A4,Tratamientos!R:R)</f>
        <v>12714.901750000001</v>
      </c>
      <c r="D4" s="80">
        <f>SUMIF(Tratamientos!$H:$H,Análisis!$A4,Tratamientos!S:S)</f>
        <v>55691.269665</v>
      </c>
      <c r="E4" s="81">
        <f t="shared" ref="E4:E34" si="0">D4/SUM($D$4:$D$34)</f>
        <v>0.13944991866903353</v>
      </c>
      <c r="F4" s="82">
        <f>E4</f>
        <v>0.13944991866903353</v>
      </c>
      <c r="G4" s="81">
        <f t="shared" ref="G4:G34" si="1">C4/SUM($C$4:$C$34)</f>
        <v>0.13842006888162314</v>
      </c>
      <c r="H4" s="81">
        <f>G4</f>
        <v>0.13842006888162314</v>
      </c>
      <c r="I4" s="83" t="str">
        <f>A4</f>
        <v>CLEAR 2335</v>
      </c>
      <c r="K4" s="44" t="str">
        <f t="shared" ref="K4:K34" si="2">VLOOKUP(L4,$C:$I,7,0)</f>
        <v>CLEAR 2335</v>
      </c>
      <c r="L4" s="84">
        <f>MAX($C$4:$C$34)</f>
        <v>12714.901750000001</v>
      </c>
      <c r="M4" s="45">
        <f>L4/SUM($L$4:$L$34)</f>
        <v>0.13842006888162312</v>
      </c>
      <c r="N4" s="44" t="str">
        <f t="shared" ref="N4:N34" si="3">VLOOKUP(O4,$D:$I,6,0)</f>
        <v>CLEAR 2335</v>
      </c>
      <c r="O4" s="84">
        <f>MAX($D$4:$D$34)</f>
        <v>55691.269665</v>
      </c>
      <c r="P4" s="45">
        <f>O4/SUM($O$4:$O$34)</f>
        <v>0.13944991866903353</v>
      </c>
      <c r="Y4" s="74">
        <f>O4/SUM($O$4:$O$34)</f>
        <v>0.13944991866903353</v>
      </c>
      <c r="Z4" s="124">
        <f>IF($Z$1="Venta [USD]",O4,Y4*100)</f>
        <v>55691.269665</v>
      </c>
      <c r="AA4" s="74">
        <f>L4/SUM($L$4:$L$34)</f>
        <v>0.13842006888162312</v>
      </c>
      <c r="AB4" s="124">
        <f>IF($AB$1="Venta [lts]",L4,AA4*100)</f>
        <v>12714.901750000001</v>
      </c>
    </row>
    <row r="5" spans="1:28">
      <c r="A5" s="79" t="s">
        <v>132</v>
      </c>
      <c r="B5" s="79" t="str">
        <f>VLOOKUP(A5,LP!$A:$B,2,0)</f>
        <v>INHIBIDOR DE PARAFINAS Y ASFALTENOS</v>
      </c>
      <c r="C5" s="80">
        <f>SUMIF(Tratamientos!H:H,Análisis!A5,Tratamientos!R:R)</f>
        <v>8160.724874999999</v>
      </c>
      <c r="D5" s="80">
        <f>SUMIF(Tratamientos!$H:$H,Análisis!$A5,Tratamientos!S:S)</f>
        <v>44639.165066249996</v>
      </c>
      <c r="E5" s="81">
        <f t="shared" si="0"/>
        <v>0.11177565128945645</v>
      </c>
      <c r="F5" s="82">
        <f t="shared" ref="F5:F34" si="4">E5+F4</f>
        <v>0.25122556995848999</v>
      </c>
      <c r="G5" s="81">
        <f t="shared" si="1"/>
        <v>8.8841276286029905E-2</v>
      </c>
      <c r="H5" s="81">
        <f t="shared" ref="H5:H34" si="5">H4+G5</f>
        <v>0.22726134516765306</v>
      </c>
      <c r="I5" s="83" t="str">
        <f t="shared" ref="I5:I34" si="6">A5</f>
        <v>EC6539A</v>
      </c>
      <c r="K5" s="44" t="str">
        <f t="shared" si="2"/>
        <v>EMBR14512A</v>
      </c>
      <c r="L5" s="84">
        <f t="shared" ref="L5:L34" si="7">_xlfn.MAXIFS($C$4:$C$34,$C$4:$C$34,"&lt;"&amp;L4)</f>
        <v>9945.6229999999996</v>
      </c>
      <c r="M5" s="45">
        <f t="shared" ref="M5:M34" si="8">L5/SUM($L$4:$L$34)+M4</f>
        <v>0.24669253907437588</v>
      </c>
      <c r="N5" s="44" t="str">
        <f t="shared" si="3"/>
        <v>EC6539A</v>
      </c>
      <c r="O5" s="84">
        <f t="shared" ref="O5:O34" si="9">_xlfn.MAXIFS($D$4:$D$34,$D$4:$D$34,"&lt;"&amp;O4)</f>
        <v>44639.165066249996</v>
      </c>
      <c r="P5" s="45">
        <f t="shared" ref="P5:P34" si="10">O5/SUM($O$4:$O$34)+P4</f>
        <v>0.25122556995848999</v>
      </c>
      <c r="Y5" s="74">
        <f t="shared" ref="Y5:Y35" si="11">O5/SUM($O$4:$O$34)</f>
        <v>0.11177565128945646</v>
      </c>
      <c r="Z5" s="124">
        <f t="shared" ref="Z5:Z35" si="12">IF($Z$1="Venta [USD]",O5,Y5*100)</f>
        <v>44639.165066249996</v>
      </c>
      <c r="AA5" s="74">
        <f t="shared" ref="AA5:AA35" si="13">L5/SUM($L$4:$L$34)</f>
        <v>0.10827247019275277</v>
      </c>
      <c r="AB5" s="124">
        <f t="shared" ref="AB5:AB35" si="14">IF($AB$1="Venta [lts]",L5,AA5*100)</f>
        <v>9945.6229999999996</v>
      </c>
    </row>
    <row r="6" spans="1:28">
      <c r="A6" s="79" t="s">
        <v>96</v>
      </c>
      <c r="B6" s="79" t="str">
        <f>VLOOKUP(A6,LP!$A:$B,2,0)</f>
        <v>REDUCTOR DE FRICCIÓN</v>
      </c>
      <c r="C6" s="80">
        <f>SUMIF(Tratamientos!H:H,Análisis!A6,Tratamientos!R:R)</f>
        <v>9709.0650000000005</v>
      </c>
      <c r="D6" s="80">
        <f>SUMIF(Tratamientos!$H:$H,Análisis!$A6,Tratamientos!S:S)</f>
        <v>41263.526250000017</v>
      </c>
      <c r="E6" s="81">
        <f t="shared" si="0"/>
        <v>0.10332311355394257</v>
      </c>
      <c r="F6" s="82">
        <f t="shared" si="4"/>
        <v>0.35454868351243257</v>
      </c>
      <c r="G6" s="81">
        <f t="shared" si="1"/>
        <v>0.10569719471691209</v>
      </c>
      <c r="H6" s="81">
        <f t="shared" si="5"/>
        <v>0.33295853988456514</v>
      </c>
      <c r="I6" s="83" t="str">
        <f t="shared" si="6"/>
        <v>SURFATRON DN-155</v>
      </c>
      <c r="K6" s="44" t="str">
        <f t="shared" si="2"/>
        <v>SURFATRON DN-155</v>
      </c>
      <c r="L6" s="84">
        <f t="shared" si="7"/>
        <v>9709.0650000000005</v>
      </c>
      <c r="M6" s="45">
        <f t="shared" si="8"/>
        <v>0.35238973379128796</v>
      </c>
      <c r="N6" s="44" t="str">
        <f t="shared" si="3"/>
        <v>SURFATRON DN-155</v>
      </c>
      <c r="O6" s="84">
        <f t="shared" si="9"/>
        <v>41263.526250000017</v>
      </c>
      <c r="P6" s="45">
        <f t="shared" si="10"/>
        <v>0.35454868351243257</v>
      </c>
      <c r="Y6" s="74">
        <f t="shared" si="11"/>
        <v>0.10332311355394258</v>
      </c>
      <c r="Z6" s="124">
        <f t="shared" si="12"/>
        <v>41263.526250000017</v>
      </c>
      <c r="AA6" s="74">
        <f t="shared" si="13"/>
        <v>0.10569719471691208</v>
      </c>
      <c r="AB6" s="124">
        <f t="shared" si="14"/>
        <v>9709.0650000000005</v>
      </c>
    </row>
    <row r="7" spans="1:28">
      <c r="A7" s="79" t="s">
        <v>16</v>
      </c>
      <c r="B7" s="79" t="str">
        <f>VLOOKUP(A7,LP!$A:$B,2,0)</f>
        <v>ANTIESPUMANTE</v>
      </c>
      <c r="C7" s="80">
        <f>SUMIF(Tratamientos!H:H,Análisis!A7,Tratamientos!R:R)</f>
        <v>6435.429361999998</v>
      </c>
      <c r="D7" s="80">
        <f>SUMIF(Tratamientos!$H:$H,Análisis!$A7,Tratamientos!S:S)</f>
        <v>16088.573404999996</v>
      </c>
      <c r="E7" s="81">
        <f t="shared" si="0"/>
        <v>4.0285492974458388E-2</v>
      </c>
      <c r="F7" s="82">
        <f t="shared" si="4"/>
        <v>0.39483417648689095</v>
      </c>
      <c r="G7" s="81">
        <f t="shared" si="1"/>
        <v>7.0058942891230741E-2</v>
      </c>
      <c r="H7" s="81">
        <f t="shared" si="5"/>
        <v>0.40301748277579585</v>
      </c>
      <c r="I7" s="83" t="str">
        <f t="shared" si="6"/>
        <v>EC3156</v>
      </c>
      <c r="K7" s="44" t="str">
        <f t="shared" si="2"/>
        <v>EC6539A</v>
      </c>
      <c r="L7" s="84">
        <f t="shared" si="7"/>
        <v>8160.724874999999</v>
      </c>
      <c r="M7" s="45">
        <f t="shared" si="8"/>
        <v>0.44123101007731785</v>
      </c>
      <c r="N7" s="44" t="str">
        <f t="shared" si="3"/>
        <v>LA3147A</v>
      </c>
      <c r="O7" s="84">
        <f t="shared" si="9"/>
        <v>37112.400000000001</v>
      </c>
      <c r="P7" s="45">
        <f t="shared" si="10"/>
        <v>0.4474774530079707</v>
      </c>
      <c r="Y7" s="74">
        <f t="shared" si="11"/>
        <v>9.2928769495538133E-2</v>
      </c>
      <c r="Z7" s="124">
        <f t="shared" si="12"/>
        <v>37112.400000000001</v>
      </c>
      <c r="AA7" s="74">
        <f t="shared" si="13"/>
        <v>8.8841276286029891E-2</v>
      </c>
      <c r="AB7" s="124">
        <f t="shared" si="14"/>
        <v>8160.724874999999</v>
      </c>
    </row>
    <row r="8" spans="1:28">
      <c r="A8" s="79" t="s">
        <v>134</v>
      </c>
      <c r="B8" s="79" t="str">
        <f>VLOOKUP(A8,LP!$A:$B,2,0)</f>
        <v>DESEMULSIONANTE</v>
      </c>
      <c r="C8" s="80">
        <f>SUMIF(Tratamientos!H:H,Análisis!A8,Tratamientos!R:R)</f>
        <v>7320</v>
      </c>
      <c r="D8" s="80">
        <f>SUMIF(Tratamientos!$H:$H,Análisis!$A8,Tratamientos!S:S)</f>
        <v>37112.400000000001</v>
      </c>
      <c r="E8" s="81">
        <f t="shared" si="0"/>
        <v>9.2928769495538119E-2</v>
      </c>
      <c r="F8" s="82">
        <f t="shared" si="4"/>
        <v>0.48776294598242909</v>
      </c>
      <c r="G8" s="81">
        <f t="shared" si="1"/>
        <v>7.9688771815596721E-2</v>
      </c>
      <c r="H8" s="81">
        <f t="shared" si="5"/>
        <v>0.4827062545913926</v>
      </c>
      <c r="I8" s="83" t="str">
        <f t="shared" si="6"/>
        <v>LA3147A</v>
      </c>
      <c r="K8" s="44" t="str">
        <f t="shared" si="2"/>
        <v>LA3147A</v>
      </c>
      <c r="L8" s="84">
        <f t="shared" si="7"/>
        <v>7320</v>
      </c>
      <c r="M8" s="45">
        <f t="shared" si="8"/>
        <v>0.52091978189291455</v>
      </c>
      <c r="N8" s="44" t="str">
        <f t="shared" si="3"/>
        <v>EMBR14512A</v>
      </c>
      <c r="O8" s="84">
        <f t="shared" si="9"/>
        <v>31428.168680000002</v>
      </c>
      <c r="P8" s="45">
        <f t="shared" si="10"/>
        <v>0.52617301144479001</v>
      </c>
      <c r="Y8" s="74">
        <f t="shared" si="11"/>
        <v>7.869555843681926E-2</v>
      </c>
      <c r="Z8" s="124">
        <f t="shared" si="12"/>
        <v>31428.168680000002</v>
      </c>
      <c r="AA8" s="74">
        <f t="shared" si="13"/>
        <v>7.9688771815596707E-2</v>
      </c>
      <c r="AB8" s="124">
        <f t="shared" si="14"/>
        <v>7320</v>
      </c>
    </row>
    <row r="9" spans="1:28">
      <c r="A9" s="79" t="s">
        <v>100</v>
      </c>
      <c r="B9" s="79" t="str">
        <f>VLOOKUP(A9,LP!$A:$B,2,0)</f>
        <v>DESEMULSIONANTE</v>
      </c>
      <c r="C9" s="80">
        <f>SUMIF(Tratamientos!H:H,Análisis!A9,Tratamientos!R:R)</f>
        <v>9945.6229999999996</v>
      </c>
      <c r="D9" s="80">
        <f>SUMIF(Tratamientos!$H:$H,Análisis!$A9,Tratamientos!S:S)</f>
        <v>31428.168680000002</v>
      </c>
      <c r="E9" s="81">
        <f t="shared" si="0"/>
        <v>7.8695558436819246E-2</v>
      </c>
      <c r="F9" s="82">
        <f t="shared" si="4"/>
        <v>0.56645850441924828</v>
      </c>
      <c r="G9" s="81">
        <f t="shared" si="1"/>
        <v>0.1082724701927528</v>
      </c>
      <c r="H9" s="81">
        <f t="shared" si="5"/>
        <v>0.59097872478414537</v>
      </c>
      <c r="I9" s="83" t="str">
        <f t="shared" si="6"/>
        <v>EMBR14512A</v>
      </c>
      <c r="K9" s="44" t="str">
        <f t="shared" si="2"/>
        <v>EC3156</v>
      </c>
      <c r="L9" s="84">
        <f t="shared" si="7"/>
        <v>6435.429361999998</v>
      </c>
      <c r="M9" s="45">
        <f t="shared" si="8"/>
        <v>0.59097872478414526</v>
      </c>
      <c r="N9" s="44" t="str">
        <f t="shared" si="3"/>
        <v>EC6359A</v>
      </c>
      <c r="O9" s="84">
        <f t="shared" si="9"/>
        <v>26735.779901999995</v>
      </c>
      <c r="P9" s="45">
        <f t="shared" si="10"/>
        <v>0.59311891437201647</v>
      </c>
      <c r="Y9" s="74">
        <f t="shared" si="11"/>
        <v>6.694590292722645E-2</v>
      </c>
      <c r="Z9" s="124">
        <f t="shared" si="12"/>
        <v>26735.779901999995</v>
      </c>
      <c r="AA9" s="74">
        <f t="shared" si="13"/>
        <v>7.0058942891230727E-2</v>
      </c>
      <c r="AB9" s="124">
        <f t="shared" si="14"/>
        <v>6435.429361999998</v>
      </c>
    </row>
    <row r="10" spans="1:28">
      <c r="A10" s="79" t="s">
        <v>133</v>
      </c>
      <c r="B10" s="79" t="str">
        <f>VLOOKUP(A10,LP!$A:$B,2,0)</f>
        <v>DESEMULSIONANTE</v>
      </c>
      <c r="C10" s="80">
        <f>SUMIF(Tratamientos!H:H,Análisis!A10,Tratamientos!R:R)</f>
        <v>2500.5120000000002</v>
      </c>
      <c r="D10" s="80">
        <f>SUMIF(Tratamientos!$H:$H,Análisis!$A10,Tratamientos!S:S)</f>
        <v>10002.048000000001</v>
      </c>
      <c r="E10" s="81">
        <f t="shared" si="0"/>
        <v>2.5044944899152523E-2</v>
      </c>
      <c r="F10" s="82">
        <f t="shared" si="4"/>
        <v>0.59150344931840082</v>
      </c>
      <c r="G10" s="81">
        <f t="shared" si="1"/>
        <v>2.722168445220784E-2</v>
      </c>
      <c r="H10" s="81">
        <f t="shared" si="5"/>
        <v>0.61820040923635322</v>
      </c>
      <c r="I10" s="83" t="str">
        <f t="shared" si="6"/>
        <v>EMBR12601A</v>
      </c>
      <c r="K10" s="44" t="str">
        <f t="shared" si="2"/>
        <v>EC6359A</v>
      </c>
      <c r="L10" s="84">
        <f t="shared" si="7"/>
        <v>5558.3742000000002</v>
      </c>
      <c r="M10" s="45">
        <f t="shared" si="8"/>
        <v>0.65148965556139937</v>
      </c>
      <c r="N10" s="44" t="str">
        <f t="shared" si="3"/>
        <v>DVE4B003</v>
      </c>
      <c r="O10" s="84">
        <f t="shared" si="9"/>
        <v>26167.467375</v>
      </c>
      <c r="P10" s="45">
        <f t="shared" si="10"/>
        <v>0.65864177314626415</v>
      </c>
      <c r="Y10" s="74">
        <f t="shared" si="11"/>
        <v>6.5522858774247669E-2</v>
      </c>
      <c r="Z10" s="124">
        <f t="shared" si="12"/>
        <v>26167.467375</v>
      </c>
      <c r="AA10" s="74">
        <f t="shared" si="13"/>
        <v>6.0510930777254085E-2</v>
      </c>
      <c r="AB10" s="124">
        <f t="shared" si="14"/>
        <v>5558.3742000000002</v>
      </c>
    </row>
    <row r="11" spans="1:28">
      <c r="A11" s="79" t="s">
        <v>131</v>
      </c>
      <c r="B11" s="79" t="str">
        <f>VLOOKUP(A11,LP!$A:$B,2,0)</f>
        <v>INHIBIDOR DE INCRUSTACIONES</v>
      </c>
      <c r="C11" s="80">
        <f>SUMIF(Tratamientos!H:H,Análisis!A11,Tratamientos!R:R)</f>
        <v>5558.3742000000002</v>
      </c>
      <c r="D11" s="80">
        <f>SUMIF(Tratamientos!$H:$H,Análisis!$A11,Tratamientos!S:S)</f>
        <v>26735.779901999995</v>
      </c>
      <c r="E11" s="81">
        <f t="shared" si="0"/>
        <v>6.6945902927226436E-2</v>
      </c>
      <c r="F11" s="82">
        <f t="shared" si="4"/>
        <v>0.65844935224562728</v>
      </c>
      <c r="G11" s="81">
        <f t="shared" si="1"/>
        <v>6.0510930777254092E-2</v>
      </c>
      <c r="H11" s="81">
        <f t="shared" si="5"/>
        <v>0.67871134001360733</v>
      </c>
      <c r="I11" s="83" t="str">
        <f t="shared" si="6"/>
        <v>EC6359A</v>
      </c>
      <c r="K11" s="44" t="str">
        <f t="shared" si="2"/>
        <v>DVE4B003</v>
      </c>
      <c r="L11" s="84">
        <f t="shared" si="7"/>
        <v>4590.7837499999996</v>
      </c>
      <c r="M11" s="45">
        <f t="shared" si="8"/>
        <v>0.70146696686037469</v>
      </c>
      <c r="N11" s="44" t="str">
        <f t="shared" si="3"/>
        <v>EC2434A</v>
      </c>
      <c r="O11" s="84">
        <f t="shared" si="9"/>
        <v>22694.247240000004</v>
      </c>
      <c r="P11" s="45">
        <f t="shared" si="10"/>
        <v>0.7154677523510774</v>
      </c>
      <c r="Y11" s="74">
        <f>O11/SUM($O$4:$O$34)</f>
        <v>5.6825979204813297E-2</v>
      </c>
      <c r="Z11" s="124">
        <f t="shared" si="12"/>
        <v>22694.247240000004</v>
      </c>
      <c r="AA11" s="74">
        <f t="shared" si="13"/>
        <v>4.9977311298975313E-2</v>
      </c>
      <c r="AB11" s="124">
        <f t="shared" si="14"/>
        <v>4590.7837499999996</v>
      </c>
    </row>
    <row r="12" spans="1:28">
      <c r="A12" s="79" t="s">
        <v>9</v>
      </c>
      <c r="B12" s="79" t="str">
        <f>VLOOKUP(A12,LP!$A:$B,2,0)</f>
        <v>BACTERICIDA</v>
      </c>
      <c r="C12" s="80">
        <f>SUMIF(Tratamientos!H:H,Análisis!A12,Tratamientos!R:R)</f>
        <v>4590.7837499999996</v>
      </c>
      <c r="D12" s="80">
        <f>SUMIF(Tratamientos!$H:$H,Análisis!$A12,Tratamientos!S:S)</f>
        <v>26167.467375</v>
      </c>
      <c r="E12" s="81">
        <f t="shared" si="0"/>
        <v>6.5522858774247669E-2</v>
      </c>
      <c r="F12" s="82">
        <f t="shared" si="4"/>
        <v>0.72397221101987497</v>
      </c>
      <c r="G12" s="81">
        <f t="shared" si="1"/>
        <v>4.997731129897532E-2</v>
      </c>
      <c r="H12" s="81">
        <f t="shared" si="5"/>
        <v>0.72868865131258265</v>
      </c>
      <c r="I12" s="83" t="str">
        <f t="shared" si="6"/>
        <v>DVE4B003</v>
      </c>
      <c r="K12" s="44" t="str">
        <f t="shared" si="2"/>
        <v>GYPTRON TA-416</v>
      </c>
      <c r="L12" s="84">
        <f t="shared" si="7"/>
        <v>4358.9285479999999</v>
      </c>
      <c r="M12" s="45">
        <f t="shared" si="8"/>
        <v>0.74892019943169463</v>
      </c>
      <c r="N12" s="44" t="str">
        <f t="shared" si="3"/>
        <v>CAPTRON 75/ENCAPTRON 95</v>
      </c>
      <c r="O12" s="84">
        <f t="shared" si="9"/>
        <v>18323</v>
      </c>
      <c r="P12" s="45">
        <f t="shared" si="10"/>
        <v>0.76134820857236041</v>
      </c>
      <c r="Y12" s="74">
        <f t="shared" si="11"/>
        <v>4.5880456221283054E-2</v>
      </c>
      <c r="Z12" s="124">
        <f t="shared" si="12"/>
        <v>18323</v>
      </c>
      <c r="AA12" s="74">
        <f t="shared" si="13"/>
        <v>4.7453232571319982E-2</v>
      </c>
      <c r="AB12" s="124">
        <f t="shared" si="14"/>
        <v>4358.9285479999999</v>
      </c>
    </row>
    <row r="13" spans="1:28">
      <c r="A13" s="79" t="s">
        <v>129</v>
      </c>
      <c r="B13" s="79" t="str">
        <f>VLOOKUP(A13,LP!$A:$B,2,0)</f>
        <v>RUPTOR</v>
      </c>
      <c r="C13" s="80">
        <f>SUMIF(Tratamientos!H:H,Análisis!A13,Tratamientos!R:R)</f>
        <v>4171.7366250000005</v>
      </c>
      <c r="D13" s="80">
        <f>SUMIF(Tratamientos!$H:$H,Análisis!$A13,Tratamientos!S:S)</f>
        <v>22694.247240000004</v>
      </c>
      <c r="E13" s="81">
        <f t="shared" si="0"/>
        <v>5.6825979204813283E-2</v>
      </c>
      <c r="F13" s="82">
        <f t="shared" si="4"/>
        <v>0.78079819022468822</v>
      </c>
      <c r="G13" s="85">
        <f t="shared" si="1"/>
        <v>4.5415378139944347E-2</v>
      </c>
      <c r="H13" s="85">
        <f t="shared" si="5"/>
        <v>0.77410402945252699</v>
      </c>
      <c r="I13" s="83" t="str">
        <f t="shared" si="6"/>
        <v>EC2434A</v>
      </c>
      <c r="K13" s="44" t="str">
        <f t="shared" si="2"/>
        <v>EC2434A</v>
      </c>
      <c r="L13" s="84">
        <f t="shared" si="7"/>
        <v>4171.7366250000005</v>
      </c>
      <c r="M13" s="45">
        <f t="shared" si="8"/>
        <v>0.79433557757163897</v>
      </c>
      <c r="N13" s="44" t="str">
        <f t="shared" si="3"/>
        <v>EC3156</v>
      </c>
      <c r="O13" s="84">
        <f t="shared" si="9"/>
        <v>16088.573404999996</v>
      </c>
      <c r="P13" s="45">
        <f t="shared" si="10"/>
        <v>0.80163370154681879</v>
      </c>
      <c r="Y13" s="74">
        <f t="shared" si="11"/>
        <v>4.0285492974458395E-2</v>
      </c>
      <c r="Z13" s="124">
        <f t="shared" si="12"/>
        <v>16088.573404999996</v>
      </c>
      <c r="AA13" s="74">
        <f t="shared" si="13"/>
        <v>4.541537813994434E-2</v>
      </c>
      <c r="AB13" s="124">
        <f t="shared" si="14"/>
        <v>4171.7366250000005</v>
      </c>
    </row>
    <row r="14" spans="1:28">
      <c r="A14" s="79" t="s">
        <v>92</v>
      </c>
      <c r="B14" s="79" t="str">
        <f>VLOOKUP(A14,LP!$A:$B,2,0)</f>
        <v>INHIBIDOR DE INCRUSTACIÓN/CORROSIÓN</v>
      </c>
      <c r="C14" s="80">
        <f>SUMIF(Tratamientos!H:H,Análisis!A14,Tratamientos!R:R)</f>
        <v>2091.666666666667</v>
      </c>
      <c r="D14" s="80">
        <f>SUMIF(Tratamientos!$H:$H,Análisis!$A14,Tratamientos!S:S)</f>
        <v>18323</v>
      </c>
      <c r="E14" s="81">
        <f t="shared" si="0"/>
        <v>4.5880456221283047E-2</v>
      </c>
      <c r="F14" s="82">
        <f t="shared" si="4"/>
        <v>0.82667864644597122</v>
      </c>
      <c r="G14" s="81">
        <f t="shared" si="1"/>
        <v>2.2770812529274567E-2</v>
      </c>
      <c r="H14" s="81">
        <f t="shared" si="5"/>
        <v>0.79687484198180158</v>
      </c>
      <c r="I14" s="83" t="str">
        <f t="shared" si="6"/>
        <v>CAPTRON 75/ENCAPTRON 95</v>
      </c>
      <c r="K14" s="44" t="str">
        <f t="shared" si="2"/>
        <v>EMBR12601A</v>
      </c>
      <c r="L14" s="84">
        <f t="shared" si="7"/>
        <v>2500.5120000000002</v>
      </c>
      <c r="M14" s="45">
        <f t="shared" si="8"/>
        <v>0.82155726202384682</v>
      </c>
      <c r="N14" s="44" t="str">
        <f t="shared" si="3"/>
        <v>EMBR12601A</v>
      </c>
      <c r="O14" s="84">
        <f t="shared" si="9"/>
        <v>10002.048000000001</v>
      </c>
      <c r="P14" s="45">
        <f t="shared" si="10"/>
        <v>0.82667864644597133</v>
      </c>
      <c r="Y14" s="74">
        <f t="shared" si="11"/>
        <v>2.5044944899152526E-2</v>
      </c>
      <c r="Z14" s="124">
        <f t="shared" si="12"/>
        <v>10002.048000000001</v>
      </c>
      <c r="AA14" s="74">
        <f t="shared" si="13"/>
        <v>2.7221684452207837E-2</v>
      </c>
      <c r="AB14" s="124">
        <f t="shared" si="14"/>
        <v>2500.5120000000002</v>
      </c>
    </row>
    <row r="15" spans="1:28">
      <c r="A15" s="79" t="s">
        <v>98</v>
      </c>
      <c r="B15" s="79" t="str">
        <f>VLOOKUP(A15,LP!$A:$B,2,0)</f>
        <v>BACTERICIDA</v>
      </c>
      <c r="C15" s="80">
        <f>SUMIF(Tratamientos!H:H,Análisis!A15,Tratamientos!R:R)</f>
        <v>1429.0814999999998</v>
      </c>
      <c r="D15" s="80">
        <f>SUMIF(Tratamientos!$H:$H,Análisis!$A15,Tratamientos!S:S)</f>
        <v>9917.8256099999999</v>
      </c>
      <c r="E15" s="81">
        <f t="shared" si="0"/>
        <v>2.4834053578012598E-2</v>
      </c>
      <c r="F15" s="82">
        <f t="shared" si="4"/>
        <v>0.85151270002398383</v>
      </c>
      <c r="G15" s="81">
        <f t="shared" si="1"/>
        <v>1.5557616060026046E-2</v>
      </c>
      <c r="H15" s="81">
        <f t="shared" si="5"/>
        <v>0.81243245804182762</v>
      </c>
      <c r="I15" s="83" t="str">
        <f t="shared" si="6"/>
        <v>BACTRON L-133</v>
      </c>
      <c r="K15" s="44" t="str">
        <f t="shared" si="2"/>
        <v>CAPTRON 75/ENCAPTRON 95</v>
      </c>
      <c r="L15" s="84">
        <f t="shared" si="7"/>
        <v>2091.666666666667</v>
      </c>
      <c r="M15" s="45">
        <f t="shared" si="8"/>
        <v>0.84432807455312142</v>
      </c>
      <c r="N15" s="44" t="str">
        <f t="shared" si="3"/>
        <v>BACTRON L-133</v>
      </c>
      <c r="O15" s="84">
        <f t="shared" si="9"/>
        <v>9917.8256099999999</v>
      </c>
      <c r="P15" s="45">
        <f t="shared" si="10"/>
        <v>0.85151270002398394</v>
      </c>
      <c r="Y15" s="74">
        <f t="shared" si="11"/>
        <v>2.4834053578012601E-2</v>
      </c>
      <c r="Z15" s="124">
        <f t="shared" si="12"/>
        <v>9917.8256099999999</v>
      </c>
      <c r="AA15" s="74">
        <f t="shared" si="13"/>
        <v>2.2770812529274563E-2</v>
      </c>
      <c r="AB15" s="124">
        <f t="shared" si="14"/>
        <v>2091.666666666667</v>
      </c>
    </row>
    <row r="16" spans="1:28">
      <c r="A16" s="79" t="s">
        <v>97</v>
      </c>
      <c r="B16" s="79" t="str">
        <f>VLOOKUP(A16,LP!$A:$B,2,0)</f>
        <v>INHIBIDOR DE INCRUSTACIONES</v>
      </c>
      <c r="C16" s="80">
        <f>SUMIF(Tratamientos!H:H,Análisis!A16,Tratamientos!R:R)</f>
        <v>4358.9285479999999</v>
      </c>
      <c r="D16" s="80">
        <f>SUMIF(Tratamientos!$H:$H,Análisis!$A16,Tratamientos!S:S)</f>
        <v>9546.05352012</v>
      </c>
      <c r="E16" s="81">
        <f t="shared" si="0"/>
        <v>2.3903143077874289E-2</v>
      </c>
      <c r="F16" s="82">
        <f t="shared" si="4"/>
        <v>0.87541584310185816</v>
      </c>
      <c r="G16" s="81">
        <f t="shared" si="1"/>
        <v>4.7453232571319989E-2</v>
      </c>
      <c r="H16" s="81">
        <f t="shared" si="5"/>
        <v>0.85988569061314757</v>
      </c>
      <c r="I16" s="83" t="str">
        <f t="shared" si="6"/>
        <v>GYPTRON TA-416</v>
      </c>
      <c r="K16" s="44" t="str">
        <f t="shared" si="2"/>
        <v>EMBR17949A</v>
      </c>
      <c r="L16" s="84">
        <f t="shared" si="7"/>
        <v>1743.6454719999999</v>
      </c>
      <c r="M16" s="45">
        <f t="shared" si="8"/>
        <v>0.86331017375332719</v>
      </c>
      <c r="N16" s="44" t="str">
        <f t="shared" si="3"/>
        <v>GYPTRON TA-416</v>
      </c>
      <c r="O16" s="84">
        <f t="shared" si="9"/>
        <v>9546.05352012</v>
      </c>
      <c r="P16" s="45">
        <f t="shared" si="10"/>
        <v>0.87541584310185827</v>
      </c>
      <c r="Y16" s="74">
        <f t="shared" si="11"/>
        <v>2.3903143077874292E-2</v>
      </c>
      <c r="Z16" s="124">
        <f t="shared" si="12"/>
        <v>9546.05352012</v>
      </c>
      <c r="AA16" s="74">
        <f t="shared" si="13"/>
        <v>1.8982099200205792E-2</v>
      </c>
      <c r="AB16" s="124">
        <f t="shared" si="14"/>
        <v>1743.6454719999999</v>
      </c>
    </row>
    <row r="17" spans="1:28">
      <c r="A17" s="79" t="s">
        <v>101</v>
      </c>
      <c r="B17" s="79" t="str">
        <f>VLOOKUP(A17,LP!$A:$B,2,0)</f>
        <v>DESEMULSIONANTE</v>
      </c>
      <c r="C17" s="80">
        <f>SUMIF(Tratamientos!H:H,Análisis!A17,Tratamientos!R:R)</f>
        <v>1743.6454719999999</v>
      </c>
      <c r="D17" s="80">
        <f>SUMIF(Tratamientos!$H:$H,Análisis!$A17,Tratamientos!S:S)</f>
        <v>6974.5818879999997</v>
      </c>
      <c r="E17" s="81">
        <f t="shared" si="0"/>
        <v>1.7464225234630665E-2</v>
      </c>
      <c r="F17" s="82">
        <f t="shared" si="4"/>
        <v>0.89288006833648881</v>
      </c>
      <c r="G17" s="81">
        <f t="shared" si="1"/>
        <v>1.8982099200205795E-2</v>
      </c>
      <c r="H17" s="81">
        <f t="shared" si="5"/>
        <v>0.87886778981335334</v>
      </c>
      <c r="I17" s="83" t="str">
        <f t="shared" si="6"/>
        <v>EMBR17949A</v>
      </c>
      <c r="K17" s="44" t="str">
        <f t="shared" si="2"/>
        <v>CORTRON RN470</v>
      </c>
      <c r="L17" s="84">
        <f t="shared" si="7"/>
        <v>1714.3012999999999</v>
      </c>
      <c r="M17" s="45">
        <f t="shared" si="8"/>
        <v>0.88197281926137105</v>
      </c>
      <c r="N17" s="44" t="str">
        <f t="shared" si="3"/>
        <v>EMBR17949A</v>
      </c>
      <c r="O17" s="84">
        <f t="shared" si="9"/>
        <v>6974.5818879999997</v>
      </c>
      <c r="P17" s="45">
        <f t="shared" si="10"/>
        <v>0.89288006833648892</v>
      </c>
      <c r="Y17" s="74">
        <f t="shared" si="11"/>
        <v>1.7464225234630665E-2</v>
      </c>
      <c r="Z17" s="124">
        <f t="shared" si="12"/>
        <v>6974.5818879999997</v>
      </c>
      <c r="AA17" s="74">
        <f t="shared" si="13"/>
        <v>1.8662645508043821E-2</v>
      </c>
      <c r="AB17" s="124">
        <f t="shared" si="14"/>
        <v>1714.3012999999999</v>
      </c>
    </row>
    <row r="18" spans="1:28">
      <c r="A18" s="79" t="s">
        <v>127</v>
      </c>
      <c r="B18" s="79" t="str">
        <f>VLOOKUP(A18,LP!$A:$B,2,0)</f>
        <v>CLARIFICANTE</v>
      </c>
      <c r="C18" s="80">
        <f>SUMIF(Tratamientos!H:H,Análisis!A18,Tratamientos!R:R)</f>
        <v>1549.5525</v>
      </c>
      <c r="D18" s="80">
        <f>SUMIF(Tratamientos!$H:$H,Análisis!$A18,Tratamientos!S:S)</f>
        <v>6043.2547500000001</v>
      </c>
      <c r="E18" s="81">
        <f t="shared" si="0"/>
        <v>1.5132199148143635E-2</v>
      </c>
      <c r="F18" s="82">
        <f t="shared" si="4"/>
        <v>0.90801226748463248</v>
      </c>
      <c r="G18" s="81">
        <f t="shared" si="1"/>
        <v>1.686911688371413E-2</v>
      </c>
      <c r="H18" s="81">
        <f t="shared" si="5"/>
        <v>0.89573690669706751</v>
      </c>
      <c r="I18" s="83" t="str">
        <f t="shared" si="6"/>
        <v>EC6036A</v>
      </c>
      <c r="K18" s="44" t="str">
        <f t="shared" si="2"/>
        <v>EC6036A</v>
      </c>
      <c r="L18" s="84">
        <f t="shared" si="7"/>
        <v>1549.5525</v>
      </c>
      <c r="M18" s="45">
        <f t="shared" si="8"/>
        <v>0.89884193614508523</v>
      </c>
      <c r="N18" s="44" t="str">
        <f t="shared" si="3"/>
        <v>EC6036A</v>
      </c>
      <c r="O18" s="84">
        <f t="shared" si="9"/>
        <v>6043.2547500000001</v>
      </c>
      <c r="P18" s="45">
        <f t="shared" si="10"/>
        <v>0.9080122674846326</v>
      </c>
      <c r="Y18" s="74">
        <f t="shared" si="11"/>
        <v>1.5132199148143639E-2</v>
      </c>
      <c r="Z18" s="124">
        <f t="shared" si="12"/>
        <v>6043.2547500000001</v>
      </c>
      <c r="AA18" s="74">
        <f t="shared" si="13"/>
        <v>1.6869116883714126E-2</v>
      </c>
      <c r="AB18" s="124">
        <f t="shared" si="14"/>
        <v>1549.5525</v>
      </c>
    </row>
    <row r="19" spans="1:28">
      <c r="A19" s="79" t="s">
        <v>28</v>
      </c>
      <c r="B19" s="79" t="str">
        <f>VLOOKUP(A19,LP!$A:$B,2,0)</f>
        <v>HUMECTANTE DE SOLIDOS</v>
      </c>
      <c r="C19" s="80">
        <f>SUMIF(Tratamientos!H:H,Análisis!A19,Tratamientos!R:R)</f>
        <v>1326.6395137499999</v>
      </c>
      <c r="D19" s="80">
        <f>SUMIF(Tratamientos!$H:$H,Análisis!$A19,Tratamientos!S:S)</f>
        <v>5850.4802556374998</v>
      </c>
      <c r="E19" s="81">
        <f t="shared" si="0"/>
        <v>1.4649495346955038E-2</v>
      </c>
      <c r="F19" s="82">
        <f t="shared" si="4"/>
        <v>0.92266176283158752</v>
      </c>
      <c r="G19" s="81">
        <f t="shared" si="1"/>
        <v>1.4442387089177312E-2</v>
      </c>
      <c r="H19" s="81">
        <f t="shared" si="5"/>
        <v>0.91017929378624485</v>
      </c>
      <c r="I19" s="83" t="str">
        <f t="shared" si="6"/>
        <v>TX14120</v>
      </c>
      <c r="K19" s="44" t="str">
        <f t="shared" si="2"/>
        <v>BACTRON L-133</v>
      </c>
      <c r="L19" s="84">
        <f t="shared" si="7"/>
        <v>1429.0814999999998</v>
      </c>
      <c r="M19" s="45">
        <f t="shared" si="8"/>
        <v>0.91439955220511127</v>
      </c>
      <c r="N19" s="44" t="str">
        <f t="shared" si="3"/>
        <v>TX14120</v>
      </c>
      <c r="O19" s="84">
        <f t="shared" si="9"/>
        <v>5850.4802556374998</v>
      </c>
      <c r="P19" s="45">
        <f t="shared" si="10"/>
        <v>0.92266176283158763</v>
      </c>
      <c r="Y19" s="74">
        <f>O19/SUM($O$4:$O$34)</f>
        <v>1.464949534695504E-2</v>
      </c>
      <c r="Z19" s="124">
        <f t="shared" si="12"/>
        <v>5850.4802556374998</v>
      </c>
      <c r="AA19" s="74">
        <f t="shared" si="13"/>
        <v>1.5557616060026045E-2</v>
      </c>
      <c r="AB19" s="124">
        <f t="shared" si="14"/>
        <v>1429.0814999999998</v>
      </c>
    </row>
    <row r="20" spans="1:28">
      <c r="A20" s="79" t="s">
        <v>77</v>
      </c>
      <c r="B20" s="79" t="str">
        <f>VLOOKUP(A20,LP!$A:$B,2,0)</f>
        <v>FLOCULANTE</v>
      </c>
      <c r="C20" s="80">
        <f>SUMIF(Tratamientos!H:H,Análisis!A20,Tratamientos!R:R)</f>
        <v>841.80000000000007</v>
      </c>
      <c r="D20" s="80">
        <f>SUMIF(Tratamientos!$H:$H,Análisis!$A20,Tratamientos!S:S)</f>
        <v>5050.8</v>
      </c>
      <c r="E20" s="81">
        <f t="shared" si="0"/>
        <v>1.2647110641404597E-2</v>
      </c>
      <c r="F20" s="82">
        <f t="shared" si="4"/>
        <v>0.93530887347299208</v>
      </c>
      <c r="G20" s="81">
        <f t="shared" si="1"/>
        <v>9.1642087587936235E-3</v>
      </c>
      <c r="H20" s="81">
        <f t="shared" si="5"/>
        <v>0.91934350254503849</v>
      </c>
      <c r="I20" s="83" t="str">
        <f t="shared" si="6"/>
        <v>CORE SHELL</v>
      </c>
      <c r="K20" s="44" t="str">
        <f t="shared" si="2"/>
        <v>CORTRON 2533</v>
      </c>
      <c r="L20" s="84">
        <f t="shared" si="7"/>
        <v>1400</v>
      </c>
      <c r="M20" s="45">
        <f t="shared" si="8"/>
        <v>0.92964057413705603</v>
      </c>
      <c r="N20" s="44" t="str">
        <f t="shared" si="3"/>
        <v>CORE SHELL</v>
      </c>
      <c r="O20" s="84">
        <f t="shared" si="9"/>
        <v>5050.8</v>
      </c>
      <c r="P20" s="45">
        <f t="shared" si="10"/>
        <v>0.93530887347299219</v>
      </c>
      <c r="Y20" s="74">
        <f t="shared" si="11"/>
        <v>1.2647110641404599E-2</v>
      </c>
      <c r="Z20" s="124">
        <f t="shared" si="12"/>
        <v>5050.8</v>
      </c>
      <c r="AA20" s="74">
        <f t="shared" si="13"/>
        <v>1.5241021931944725E-2</v>
      </c>
      <c r="AB20" s="124">
        <f t="shared" si="14"/>
        <v>1400</v>
      </c>
    </row>
    <row r="21" spans="1:28">
      <c r="A21" s="79" t="s">
        <v>18</v>
      </c>
      <c r="B21" s="79" t="str">
        <f>VLOOKUP(A21,LP!$A:$B,2,0)</f>
        <v>INHIBIDOR DE CORROSIÓN</v>
      </c>
      <c r="C21" s="80">
        <f>SUMIF(Tratamientos!H:H,Análisis!A21,Tratamientos!R:R)</f>
        <v>1714.3012999999999</v>
      </c>
      <c r="D21" s="80">
        <f>SUMIF(Tratamientos!$H:$H,Análisis!$A21,Tratamientos!S:S)</f>
        <v>4542.8984450000007</v>
      </c>
      <c r="E21" s="81">
        <f t="shared" si="0"/>
        <v>1.1375334455250635E-2</v>
      </c>
      <c r="F21" s="82">
        <f t="shared" si="4"/>
        <v>0.9466842079282427</v>
      </c>
      <c r="G21" s="81">
        <f t="shared" si="1"/>
        <v>1.8662645508043824E-2</v>
      </c>
      <c r="H21" s="81">
        <f t="shared" si="5"/>
        <v>0.93800614805308236</v>
      </c>
      <c r="I21" s="83" t="str">
        <f t="shared" si="6"/>
        <v>CORTRON RN470</v>
      </c>
      <c r="K21" s="44" t="str">
        <f t="shared" si="2"/>
        <v>TX14120</v>
      </c>
      <c r="L21" s="84">
        <f t="shared" si="7"/>
        <v>1326.6395137499999</v>
      </c>
      <c r="M21" s="45">
        <f t="shared" si="8"/>
        <v>0.94408296122623336</v>
      </c>
      <c r="N21" s="44" t="str">
        <f t="shared" si="3"/>
        <v>CORTRON RN470</v>
      </c>
      <c r="O21" s="84">
        <f t="shared" si="9"/>
        <v>4542.8984450000007</v>
      </c>
      <c r="P21" s="45">
        <f t="shared" si="10"/>
        <v>0.94668420792824282</v>
      </c>
      <c r="Y21" s="74">
        <f t="shared" si="11"/>
        <v>1.1375334455250637E-2</v>
      </c>
      <c r="Z21" s="124">
        <f t="shared" si="12"/>
        <v>4542.8984450000007</v>
      </c>
      <c r="AA21" s="74">
        <f t="shared" si="13"/>
        <v>1.4442387089177309E-2</v>
      </c>
      <c r="AB21" s="124">
        <f t="shared" si="14"/>
        <v>1326.6395137499999</v>
      </c>
    </row>
    <row r="22" spans="1:28">
      <c r="A22" s="79" t="s">
        <v>88</v>
      </c>
      <c r="B22" s="79" t="str">
        <f>VLOOKUP(A22,LP!$A:$B,2,0)</f>
        <v>INHIBIDOR DE CORROSIÓN</v>
      </c>
      <c r="C22" s="80">
        <f>SUMIF(Tratamientos!H:H,Análisis!A22,Tratamientos!R:R)</f>
        <v>1400</v>
      </c>
      <c r="D22" s="80">
        <f>SUMIF(Tratamientos!$H:$H,Análisis!$A22,Tratamientos!S:S)</f>
        <v>3724</v>
      </c>
      <c r="E22" s="81">
        <f t="shared" si="0"/>
        <v>9.3248277557200273E-3</v>
      </c>
      <c r="F22" s="82">
        <f t="shared" si="4"/>
        <v>0.95600903568396278</v>
      </c>
      <c r="G22" s="81">
        <f t="shared" si="1"/>
        <v>1.5241021931944727E-2</v>
      </c>
      <c r="H22" s="81">
        <f t="shared" si="5"/>
        <v>0.95324716998502712</v>
      </c>
      <c r="I22" s="83" t="str">
        <f t="shared" si="6"/>
        <v>CORTRON 2533</v>
      </c>
      <c r="K22" s="44" t="str">
        <f t="shared" si="2"/>
        <v>GAS TREAT 200</v>
      </c>
      <c r="L22" s="84">
        <f t="shared" si="7"/>
        <v>1041.575</v>
      </c>
      <c r="M22" s="45">
        <f t="shared" si="8"/>
        <v>0.95542200938249433</v>
      </c>
      <c r="N22" s="44" t="str">
        <f t="shared" si="3"/>
        <v>CORTRON 2533</v>
      </c>
      <c r="O22" s="84">
        <f t="shared" si="9"/>
        <v>3724</v>
      </c>
      <c r="P22" s="45">
        <f t="shared" si="10"/>
        <v>0.95600903568396289</v>
      </c>
      <c r="Y22" s="74">
        <f t="shared" si="11"/>
        <v>9.324827755720029E-3</v>
      </c>
      <c r="Z22" s="124">
        <f t="shared" si="12"/>
        <v>3724</v>
      </c>
      <c r="AA22" s="74">
        <f t="shared" si="13"/>
        <v>1.1339048156260948E-2</v>
      </c>
      <c r="AB22" s="124">
        <f t="shared" si="14"/>
        <v>1041.575</v>
      </c>
    </row>
    <row r="23" spans="1:28">
      <c r="A23" s="79" t="s">
        <v>130</v>
      </c>
      <c r="B23" s="79" t="str">
        <f>VLOOKUP(A23,LP!$A:$B,2,0)</f>
        <v>FLOCULANTE</v>
      </c>
      <c r="C23" s="80">
        <f>SUMIF(Tratamientos!H:H,Análisis!A23,Tratamientos!R:R)</f>
        <v>572.88149999999996</v>
      </c>
      <c r="D23" s="80">
        <f>SUMIF(Tratamientos!$H:$H,Análisis!$A23,Tratamientos!S:S)</f>
        <v>3460.2042599999995</v>
      </c>
      <c r="E23" s="81">
        <f t="shared" si="0"/>
        <v>8.6642880569572176E-3</v>
      </c>
      <c r="F23" s="82">
        <f t="shared" si="4"/>
        <v>0.96467332374091996</v>
      </c>
      <c r="G23" s="81">
        <f t="shared" si="1"/>
        <v>6.2366425042181374E-3</v>
      </c>
      <c r="H23" s="81">
        <f t="shared" si="5"/>
        <v>0.9594838124892453</v>
      </c>
      <c r="I23" s="83" t="str">
        <f t="shared" si="6"/>
        <v>EC6019A</v>
      </c>
      <c r="K23" s="44" t="str">
        <f t="shared" si="2"/>
        <v>CORE SHELL</v>
      </c>
      <c r="L23" s="84">
        <f t="shared" si="7"/>
        <v>841.80000000000007</v>
      </c>
      <c r="M23" s="45">
        <f t="shared" si="8"/>
        <v>0.96458621814128798</v>
      </c>
      <c r="N23" s="44" t="str">
        <f t="shared" si="3"/>
        <v>EC6019A</v>
      </c>
      <c r="O23" s="84">
        <f t="shared" si="9"/>
        <v>3460.2042599999995</v>
      </c>
      <c r="P23" s="45">
        <f t="shared" si="10"/>
        <v>0.96467332374092007</v>
      </c>
      <c r="Y23" s="74">
        <f t="shared" si="11"/>
        <v>8.6642880569572176E-3</v>
      </c>
      <c r="Z23" s="124">
        <f t="shared" si="12"/>
        <v>3460.2042599999995</v>
      </c>
      <c r="AA23" s="74">
        <f t="shared" si="13"/>
        <v>9.1642087587936218E-3</v>
      </c>
      <c r="AB23" s="124">
        <f t="shared" si="14"/>
        <v>841.80000000000007</v>
      </c>
    </row>
    <row r="24" spans="1:28">
      <c r="A24" s="79" t="s">
        <v>91</v>
      </c>
      <c r="B24" s="79" t="str">
        <f>VLOOKUP(A24,LP!$A:$B,2,0)</f>
        <v>INHIBIDOR DE INCRUSTACIONES</v>
      </c>
      <c r="C24" s="80">
        <f>SUMIF(Tratamientos!H:H,Análisis!A24,Tratamientos!R:R)</f>
        <v>291.66666666666669</v>
      </c>
      <c r="D24" s="80">
        <f>SUMIF(Tratamientos!$H:$H,Análisis!$A24,Tratamientos!S:S)</f>
        <v>3085.8333333333335</v>
      </c>
      <c r="E24" s="81">
        <f t="shared" si="0"/>
        <v>7.7268701171301617E-3</v>
      </c>
      <c r="F24" s="82">
        <f t="shared" si="4"/>
        <v>0.9724001938580501</v>
      </c>
      <c r="G24" s="81">
        <f t="shared" si="1"/>
        <v>3.1752129024884852E-3</v>
      </c>
      <c r="H24" s="81">
        <f t="shared" si="5"/>
        <v>0.96265902539173376</v>
      </c>
      <c r="I24" s="83" t="str">
        <f t="shared" si="6"/>
        <v>CAPTRON 75</v>
      </c>
      <c r="K24" s="44" t="str">
        <f t="shared" si="2"/>
        <v>EC6019A</v>
      </c>
      <c r="L24" s="84">
        <f t="shared" si="7"/>
        <v>572.88149999999996</v>
      </c>
      <c r="M24" s="45">
        <f t="shared" si="8"/>
        <v>0.97082286064550616</v>
      </c>
      <c r="N24" s="44" t="str">
        <f t="shared" si="3"/>
        <v>CAPTRON 75</v>
      </c>
      <c r="O24" s="84">
        <f t="shared" si="9"/>
        <v>3085.8333333333335</v>
      </c>
      <c r="P24" s="45">
        <f t="shared" si="10"/>
        <v>0.97240019385805021</v>
      </c>
      <c r="Y24" s="74">
        <f t="shared" si="11"/>
        <v>7.7268701171301626E-3</v>
      </c>
      <c r="Z24" s="124">
        <f t="shared" si="12"/>
        <v>3085.8333333333335</v>
      </c>
      <c r="AA24" s="74">
        <f t="shared" si="13"/>
        <v>6.2366425042181366E-3</v>
      </c>
      <c r="AB24" s="124">
        <f t="shared" si="14"/>
        <v>572.88149999999996</v>
      </c>
    </row>
    <row r="25" spans="1:28">
      <c r="A25" s="79" t="s">
        <v>124</v>
      </c>
      <c r="B25" s="79" t="str">
        <f>VLOOKUP(A25,LP!$A:$B,2,0)</f>
        <v>DESEMULSIONANTE</v>
      </c>
      <c r="C25" s="80">
        <f>SUMIF(Tratamientos!H:H,Análisis!A25,Tratamientos!R:R)</f>
        <v>559.28048249999995</v>
      </c>
      <c r="D25" s="80">
        <f>SUMIF(Tratamientos!$H:$H,Análisis!$A25,Tratamientos!S:S)</f>
        <v>1560.3925461749998</v>
      </c>
      <c r="E25" s="81">
        <f t="shared" si="0"/>
        <v>3.9071943405991627E-3</v>
      </c>
      <c r="F25" s="82">
        <f t="shared" si="4"/>
        <v>0.97630738819864926</v>
      </c>
      <c r="G25" s="81">
        <f t="shared" si="1"/>
        <v>6.08857578563652E-3</v>
      </c>
      <c r="H25" s="81">
        <f t="shared" si="5"/>
        <v>0.96874760117737024</v>
      </c>
      <c r="I25" s="83" t="str">
        <f t="shared" si="6"/>
        <v>EMULSOTRON x-8134</v>
      </c>
      <c r="K25" s="44" t="str">
        <f t="shared" si="2"/>
        <v>EMULSOTRON x-8134</v>
      </c>
      <c r="L25" s="84">
        <f t="shared" si="7"/>
        <v>559.28048249999995</v>
      </c>
      <c r="M25" s="45">
        <f t="shared" si="8"/>
        <v>0.97691143643114264</v>
      </c>
      <c r="N25" s="44" t="str">
        <f t="shared" si="3"/>
        <v>GAS TREAT 200</v>
      </c>
      <c r="O25" s="84">
        <f t="shared" si="9"/>
        <v>1958.1610000000001</v>
      </c>
      <c r="P25" s="45">
        <f t="shared" si="10"/>
        <v>0.97730339311770875</v>
      </c>
      <c r="Y25" s="74">
        <f t="shared" si="11"/>
        <v>4.9031992596585633E-3</v>
      </c>
      <c r="Z25" s="124">
        <f t="shared" si="12"/>
        <v>1958.1610000000001</v>
      </c>
      <c r="AA25" s="74">
        <f t="shared" si="13"/>
        <v>6.0885757856365191E-3</v>
      </c>
      <c r="AB25" s="124">
        <f t="shared" si="14"/>
        <v>559.28048249999995</v>
      </c>
    </row>
    <row r="26" spans="1:28">
      <c r="A26" s="79" t="s">
        <v>102</v>
      </c>
      <c r="B26" s="79" t="str">
        <f>VLOOKUP(A26,LP!$A:$B,2,0)</f>
        <v>SECUESTRANTE DE SULFHÍDRICO</v>
      </c>
      <c r="C26" s="80">
        <f>SUMIF(Tratamientos!H:H,Análisis!A26,Tratamientos!R:R)</f>
        <v>1041.575</v>
      </c>
      <c r="D26" s="80">
        <f>SUMIF(Tratamientos!$H:$H,Análisis!$A26,Tratamientos!S:S)</f>
        <v>1958.1610000000001</v>
      </c>
      <c r="E26" s="81">
        <f t="shared" si="0"/>
        <v>4.9031992596585625E-3</v>
      </c>
      <c r="F26" s="82">
        <f t="shared" si="4"/>
        <v>0.9812105874583078</v>
      </c>
      <c r="G26" s="81">
        <f t="shared" si="1"/>
        <v>1.133904815626095E-2</v>
      </c>
      <c r="H26" s="81">
        <f t="shared" si="5"/>
        <v>0.98008664933363121</v>
      </c>
      <c r="I26" s="83" t="str">
        <f t="shared" si="6"/>
        <v>GAS TREAT 200</v>
      </c>
      <c r="K26" s="44" t="str">
        <f t="shared" si="2"/>
        <v>CORTRON RU312</v>
      </c>
      <c r="L26" s="84">
        <f t="shared" si="7"/>
        <v>534.36</v>
      </c>
      <c r="M26" s="45">
        <f t="shared" si="8"/>
        <v>0.98272871677368123</v>
      </c>
      <c r="N26" s="44" t="str">
        <f t="shared" si="3"/>
        <v>ENCAPTRON 95</v>
      </c>
      <c r="O26" s="84">
        <f t="shared" si="9"/>
        <v>1619.3333333333335</v>
      </c>
      <c r="P26" s="45">
        <f t="shared" si="10"/>
        <v>0.9813581741092311</v>
      </c>
      <c r="Y26" s="143">
        <f t="shared" si="11"/>
        <v>4.0547809915223694E-3</v>
      </c>
      <c r="Z26" s="124">
        <f t="shared" si="12"/>
        <v>1619.3333333333335</v>
      </c>
      <c r="AA26" s="74">
        <f t="shared" si="13"/>
        <v>5.8172803425385593E-3</v>
      </c>
      <c r="AB26" s="124">
        <f t="shared" si="14"/>
        <v>534.36</v>
      </c>
    </row>
    <row r="27" spans="1:28">
      <c r="A27" s="79" t="s">
        <v>93</v>
      </c>
      <c r="B27" s="79" t="str">
        <f>VLOOKUP(A27,LP!$A:$B,2,0)</f>
        <v>INHIBIDOR DE CORROSIÓN</v>
      </c>
      <c r="C27" s="80">
        <f>SUMIF(Tratamientos!H:H,Análisis!A27,Tratamientos!R:R)</f>
        <v>233.33333333333334</v>
      </c>
      <c r="D27" s="80">
        <f>SUMIF(Tratamientos!$H:$H,Análisis!$A27,Tratamientos!S:S)</f>
        <v>1619.3333333333335</v>
      </c>
      <c r="E27" s="81">
        <f t="shared" si="0"/>
        <v>4.0547809915223686E-3</v>
      </c>
      <c r="F27" s="82">
        <f t="shared" si="4"/>
        <v>0.98526536844983015</v>
      </c>
      <c r="G27" s="81">
        <f t="shared" si="1"/>
        <v>2.5401703219907878E-3</v>
      </c>
      <c r="H27" s="81">
        <f t="shared" si="5"/>
        <v>0.98262681965562204</v>
      </c>
      <c r="I27" s="83" t="str">
        <f t="shared" si="6"/>
        <v>ENCAPTRON 95</v>
      </c>
      <c r="K27" s="44" t="str">
        <f t="shared" si="2"/>
        <v>EMULSOTRON x-8131</v>
      </c>
      <c r="L27" s="84">
        <f t="shared" si="7"/>
        <v>409.47393750000003</v>
      </c>
      <c r="M27" s="45">
        <f t="shared" si="8"/>
        <v>0.98718643196082212</v>
      </c>
      <c r="N27" s="44" t="str">
        <f t="shared" si="3"/>
        <v>EMULSOTRON x-8134</v>
      </c>
      <c r="O27" s="84">
        <f t="shared" si="9"/>
        <v>1560.3925461749998</v>
      </c>
      <c r="P27" s="45">
        <f t="shared" si="10"/>
        <v>0.98526536844983026</v>
      </c>
      <c r="Y27" s="143">
        <f t="shared" si="11"/>
        <v>3.9071943405991636E-3</v>
      </c>
      <c r="Z27" s="124">
        <f t="shared" si="12"/>
        <v>1560.3925461749998</v>
      </c>
      <c r="AA27" s="74">
        <f t="shared" si="13"/>
        <v>4.4577151871409027E-3</v>
      </c>
      <c r="AB27" s="124">
        <f t="shared" si="14"/>
        <v>409.47393750000003</v>
      </c>
    </row>
    <row r="28" spans="1:28">
      <c r="A28" s="79" t="s">
        <v>136</v>
      </c>
      <c r="B28" s="79" t="str">
        <f>VLOOKUP(A28,LP!$A:$B,2,0)</f>
        <v>REDUCTOR DE FRICCIÓN</v>
      </c>
      <c r="C28" s="80">
        <f>SUMIF(Tratamientos!H:H,Análisis!A28,Tratamientos!R:R)</f>
        <v>161.2535</v>
      </c>
      <c r="D28" s="80">
        <f>SUMIF(Tratamientos!$H:$H,Análisis!$A28,Tratamientos!S:S)</f>
        <v>645.01400000000001</v>
      </c>
      <c r="E28" s="81">
        <f t="shared" si="0"/>
        <v>1.6151032357755097E-3</v>
      </c>
      <c r="F28" s="82">
        <f t="shared" si="4"/>
        <v>0.98688047168560566</v>
      </c>
      <c r="G28" s="81">
        <f t="shared" si="1"/>
        <v>1.7554772357877494E-3</v>
      </c>
      <c r="H28" s="81">
        <f t="shared" si="5"/>
        <v>0.98438229689140977</v>
      </c>
      <c r="I28" s="83" t="str">
        <f t="shared" si="6"/>
        <v>EMULSOTRON x-8135</v>
      </c>
      <c r="K28" s="44" t="str">
        <f t="shared" si="2"/>
        <v>CAPTRON 75</v>
      </c>
      <c r="L28" s="84">
        <f t="shared" si="7"/>
        <v>291.66666666666669</v>
      </c>
      <c r="M28" s="45">
        <f t="shared" si="8"/>
        <v>0.99036164486331058</v>
      </c>
      <c r="N28" s="44" t="str">
        <f t="shared" si="3"/>
        <v>03VC057</v>
      </c>
      <c r="O28" s="84">
        <f t="shared" si="9"/>
        <v>1403.4635999999998</v>
      </c>
      <c r="P28" s="45">
        <f t="shared" si="10"/>
        <v>0.98877961558501359</v>
      </c>
      <c r="Y28" s="143">
        <f t="shared" si="11"/>
        <v>3.5142471351833383E-3</v>
      </c>
      <c r="Z28" s="124">
        <f t="shared" si="12"/>
        <v>1403.4635999999998</v>
      </c>
      <c r="AA28" s="74">
        <f t="shared" si="13"/>
        <v>3.1752129024884843E-3</v>
      </c>
      <c r="AB28" s="124">
        <f t="shared" si="14"/>
        <v>291.66666666666669</v>
      </c>
    </row>
    <row r="29" spans="1:28">
      <c r="A29" s="79" t="s">
        <v>123</v>
      </c>
      <c r="B29" s="79" t="str">
        <f>VLOOKUP(A29,LP!$A:$B,2,0)</f>
        <v>REDUCTOR DE FRICCIÓN</v>
      </c>
      <c r="C29" s="80">
        <f>SUMIF(Tratamientos!H:H,Análisis!A29,Tratamientos!R:R)</f>
        <v>409.47393750000003</v>
      </c>
      <c r="D29" s="80">
        <f>SUMIF(Tratamientos!$H:$H,Análisis!$A29,Tratamientos!S:S)</f>
        <v>1142.4322856250001</v>
      </c>
      <c r="E29" s="81">
        <f t="shared" si="0"/>
        <v>2.8606295075259591E-3</v>
      </c>
      <c r="F29" s="82">
        <f t="shared" si="4"/>
        <v>0.98974110119313163</v>
      </c>
      <c r="G29" s="81">
        <f t="shared" si="1"/>
        <v>4.4577151871409036E-3</v>
      </c>
      <c r="H29" s="81">
        <f t="shared" si="5"/>
        <v>0.98884001207855066</v>
      </c>
      <c r="I29" s="83" t="str">
        <f t="shared" si="6"/>
        <v>EMULSOTRON x-8131</v>
      </c>
      <c r="K29" s="44" t="str">
        <f t="shared" si="2"/>
        <v>ENCAPTRON 95</v>
      </c>
      <c r="L29" s="84">
        <f t="shared" si="7"/>
        <v>233.33333333333334</v>
      </c>
      <c r="M29" s="45">
        <f t="shared" si="8"/>
        <v>0.99290181518530141</v>
      </c>
      <c r="N29" s="44" t="str">
        <f t="shared" si="3"/>
        <v>EMULSOTRON x-8131</v>
      </c>
      <c r="O29" s="84">
        <f t="shared" si="9"/>
        <v>1142.4322856250001</v>
      </c>
      <c r="P29" s="45">
        <f t="shared" si="10"/>
        <v>0.99164024509253956</v>
      </c>
      <c r="Y29" s="143">
        <f t="shared" si="11"/>
        <v>2.8606295075259596E-3</v>
      </c>
      <c r="Z29" s="124">
        <f t="shared" si="12"/>
        <v>1142.4322856250001</v>
      </c>
      <c r="AA29" s="74">
        <f t="shared" si="13"/>
        <v>2.5401703219907873E-3</v>
      </c>
      <c r="AB29" s="124">
        <f t="shared" si="14"/>
        <v>233.33333333333334</v>
      </c>
    </row>
    <row r="30" spans="1:28">
      <c r="A30" s="79" t="s">
        <v>110</v>
      </c>
      <c r="B30" s="79" t="str">
        <f>VLOOKUP(A30,LP!$A:$B,2,0)</f>
        <v>CLARIFICANTE</v>
      </c>
      <c r="C30" s="80">
        <f>SUMIF(Tratamientos!H:H,Análisis!A30,Tratamientos!R:R)</f>
        <v>169.09199999999996</v>
      </c>
      <c r="D30" s="80">
        <f>SUMIF(Tratamientos!$H:$H,Análisis!$A30,Tratamientos!S:S)</f>
        <v>1403.4635999999998</v>
      </c>
      <c r="E30" s="81">
        <f t="shared" si="0"/>
        <v>3.5142471351833375E-3</v>
      </c>
      <c r="F30" s="82">
        <f t="shared" si="4"/>
        <v>0.99325534832831497</v>
      </c>
      <c r="G30" s="81">
        <f t="shared" si="1"/>
        <v>1.8408106289402835E-3</v>
      </c>
      <c r="H30" s="81">
        <f t="shared" si="5"/>
        <v>0.99068082270749092</v>
      </c>
      <c r="I30" s="83" t="str">
        <f t="shared" si="6"/>
        <v>03VC057</v>
      </c>
      <c r="K30" s="44" t="str">
        <f t="shared" si="2"/>
        <v>CLEAR 2336</v>
      </c>
      <c r="L30" s="84">
        <f t="shared" si="7"/>
        <v>200</v>
      </c>
      <c r="M30" s="45">
        <f t="shared" si="8"/>
        <v>0.99507910403272204</v>
      </c>
      <c r="N30" s="44" t="str">
        <f t="shared" si="3"/>
        <v>CLEAR 2336</v>
      </c>
      <c r="O30" s="84">
        <f t="shared" si="9"/>
        <v>748</v>
      </c>
      <c r="P30" s="45">
        <f t="shared" si="10"/>
        <v>0.99351322338504189</v>
      </c>
      <c r="Y30" s="143">
        <f t="shared" si="11"/>
        <v>1.8729782925023045E-3</v>
      </c>
      <c r="Z30" s="124">
        <f t="shared" si="12"/>
        <v>748</v>
      </c>
      <c r="AA30" s="74">
        <f t="shared" si="13"/>
        <v>2.1772888474206747E-3</v>
      </c>
      <c r="AB30" s="124">
        <f t="shared" si="14"/>
        <v>200</v>
      </c>
    </row>
    <row r="31" spans="1:28" ht="11.25" customHeight="1">
      <c r="A31" s="79" t="s">
        <v>142</v>
      </c>
      <c r="B31" s="79" t="str">
        <f>VLOOKUP(A31,LP!$A:$B,2,0)</f>
        <v>DISOLVENTE DE PARAFINAS Y ASFALTENOS</v>
      </c>
      <c r="C31" s="80">
        <f>SUMIF(Tratamientos!H:H,Análisis!A31,Tratamientos!R:R)</f>
        <v>200</v>
      </c>
      <c r="D31" s="80">
        <f>SUMIF(Tratamientos!$H:$H,Análisis!$A31,Tratamientos!S:S)</f>
        <v>748</v>
      </c>
      <c r="E31" s="81">
        <f t="shared" si="0"/>
        <v>1.8729782925023042E-3</v>
      </c>
      <c r="F31" s="82">
        <f t="shared" si="4"/>
        <v>0.99512832662081729</v>
      </c>
      <c r="G31" s="81">
        <f t="shared" si="1"/>
        <v>2.1772888474206752E-3</v>
      </c>
      <c r="H31" s="81">
        <f t="shared" si="5"/>
        <v>0.99285811155491155</v>
      </c>
      <c r="I31" s="83" t="str">
        <f t="shared" si="6"/>
        <v>CLEAR 2336</v>
      </c>
      <c r="K31" s="44" t="str">
        <f t="shared" si="2"/>
        <v>03VC057</v>
      </c>
      <c r="L31" s="84">
        <f t="shared" si="7"/>
        <v>169.09199999999996</v>
      </c>
      <c r="M31" s="45">
        <f t="shared" si="8"/>
        <v>0.9969199146616623</v>
      </c>
      <c r="N31" s="44" t="str">
        <f t="shared" si="3"/>
        <v>EC6620</v>
      </c>
      <c r="O31" s="84">
        <f t="shared" si="9"/>
        <v>718.18349999999998</v>
      </c>
      <c r="P31" s="45">
        <f t="shared" si="10"/>
        <v>0.99531154170794744</v>
      </c>
      <c r="Y31" s="143">
        <f t="shared" si="11"/>
        <v>1.7983183229055197E-3</v>
      </c>
      <c r="Z31" s="124">
        <f t="shared" si="12"/>
        <v>718.18349999999998</v>
      </c>
      <c r="AA31" s="74">
        <f t="shared" si="13"/>
        <v>1.8408106289402833E-3</v>
      </c>
      <c r="AB31" s="124">
        <f t="shared" si="14"/>
        <v>169.09199999999996</v>
      </c>
    </row>
    <row r="32" spans="1:28">
      <c r="A32" s="79" t="s">
        <v>151</v>
      </c>
      <c r="B32" s="79" t="str">
        <f>VLOOKUP(A32,LP!$A:$B,2,0)</f>
        <v>REDUCTOR DE VISCOSIDAD</v>
      </c>
      <c r="C32" s="80">
        <f>SUMIF(Tratamientos!H:H,Análisis!A32,Tratamientos!R:R)</f>
        <v>71.674999999999997</v>
      </c>
      <c r="D32" s="80">
        <f>SUMIF(Tratamientos!$H:$H,Análisis!$A32,Tratamientos!S:S)</f>
        <v>718.18349999999998</v>
      </c>
      <c r="E32" s="81">
        <f t="shared" si="0"/>
        <v>1.7983183229055195E-3</v>
      </c>
      <c r="F32" s="82">
        <f t="shared" si="4"/>
        <v>0.99692664494372285</v>
      </c>
      <c r="G32" s="81">
        <f t="shared" si="1"/>
        <v>7.8028589069438449E-4</v>
      </c>
      <c r="H32" s="81">
        <f t="shared" si="5"/>
        <v>0.99363839744560589</v>
      </c>
      <c r="I32" s="83" t="str">
        <f t="shared" si="6"/>
        <v>EC6620</v>
      </c>
      <c r="K32" s="44" t="str">
        <f t="shared" si="2"/>
        <v>EMULSOTRON x-8135</v>
      </c>
      <c r="L32" s="84">
        <f t="shared" si="7"/>
        <v>161.2535</v>
      </c>
      <c r="M32" s="45">
        <f t="shared" si="8"/>
        <v>0.99867539189745003</v>
      </c>
      <c r="N32" s="44" t="str">
        <f t="shared" si="3"/>
        <v>CORTRON RU312</v>
      </c>
      <c r="O32" s="84">
        <f t="shared" si="9"/>
        <v>678.63720000000001</v>
      </c>
      <c r="P32" s="45">
        <f t="shared" si="10"/>
        <v>0.99701083682035996</v>
      </c>
      <c r="Y32" s="143">
        <f t="shared" si="11"/>
        <v>1.6992951124124931E-3</v>
      </c>
      <c r="Z32" s="124">
        <f t="shared" si="12"/>
        <v>678.63720000000001</v>
      </c>
      <c r="AA32" s="74">
        <f t="shared" si="13"/>
        <v>1.755477235787749E-3</v>
      </c>
      <c r="AB32" s="124">
        <f t="shared" si="14"/>
        <v>161.2535</v>
      </c>
    </row>
    <row r="33" spans="1:28">
      <c r="A33" s="79" t="s">
        <v>57</v>
      </c>
      <c r="B33" s="79" t="str">
        <f>VLOOKUP(A33,LP!$A:$B,2,0)</f>
        <v>SECUESTRANTE DE OXIGENO</v>
      </c>
      <c r="C33" s="80">
        <f>SUMIF(Tratamientos!H:H,Análisis!A33,Tratamientos!R:R)</f>
        <v>534.36</v>
      </c>
      <c r="D33" s="80">
        <f>SUMIF(Tratamientos!$H:$H,Análisis!$A33,Tratamientos!S:S)</f>
        <v>678.63720000000001</v>
      </c>
      <c r="E33" s="81">
        <f t="shared" si="0"/>
        <v>1.6992951124124929E-3</v>
      </c>
      <c r="F33" s="82">
        <f t="shared" si="4"/>
        <v>0.99862594005613536</v>
      </c>
      <c r="G33" s="81">
        <f t="shared" si="1"/>
        <v>5.8172803425385602E-3</v>
      </c>
      <c r="H33" s="81">
        <f t="shared" si="5"/>
        <v>0.99945567778814448</v>
      </c>
      <c r="I33" s="83" t="str">
        <f t="shared" si="6"/>
        <v>CORTRON RU312</v>
      </c>
      <c r="K33" s="44" t="str">
        <f t="shared" si="2"/>
        <v>EC6620</v>
      </c>
      <c r="L33" s="84">
        <f t="shared" si="7"/>
        <v>71.674999999999997</v>
      </c>
      <c r="M33" s="45">
        <f t="shared" si="8"/>
        <v>0.99945567778814437</v>
      </c>
      <c r="N33" s="44" t="str">
        <f t="shared" si="3"/>
        <v>EMULSOTRON x-8135</v>
      </c>
      <c r="O33" s="84">
        <f t="shared" si="9"/>
        <v>645.01400000000001</v>
      </c>
      <c r="P33" s="45">
        <f t="shared" si="10"/>
        <v>0.99862594005613547</v>
      </c>
      <c r="Y33" s="143">
        <f t="shared" si="11"/>
        <v>1.6151032357755099E-3</v>
      </c>
      <c r="Z33" s="124">
        <f t="shared" si="12"/>
        <v>645.01400000000001</v>
      </c>
      <c r="AA33" s="74">
        <f t="shared" si="13"/>
        <v>7.8028589069438438E-4</v>
      </c>
      <c r="AB33" s="124">
        <f t="shared" si="14"/>
        <v>71.674999999999997</v>
      </c>
    </row>
    <row r="34" spans="1:28">
      <c r="A34" s="79" t="s">
        <v>143</v>
      </c>
      <c r="B34" s="79" t="str">
        <f>VLOOKUP(A34,LP!$A:$B,2,0)</f>
        <v>INHIBIDOR DE INCRUSTACIÓN/CORROSIÓN</v>
      </c>
      <c r="C34" s="80">
        <f>SUMIF(Tratamientos!H:H,Análisis!A34,Tratamientos!R:R)</f>
        <v>50</v>
      </c>
      <c r="D34" s="80">
        <f>SUMIF(Tratamientos!$H:$H,Análisis!$A34,Tratamientos!S:S)</f>
        <v>548.75</v>
      </c>
      <c r="E34" s="81">
        <f t="shared" si="0"/>
        <v>1.3740599438644913E-3</v>
      </c>
      <c r="F34" s="82">
        <f t="shared" si="4"/>
        <v>0.99999999999999989</v>
      </c>
      <c r="G34" s="81">
        <f t="shared" si="1"/>
        <v>5.4432221185516879E-4</v>
      </c>
      <c r="H34" s="81">
        <f t="shared" si="5"/>
        <v>0.99999999999999967</v>
      </c>
      <c r="I34" s="83" t="str">
        <f t="shared" si="6"/>
        <v>CAPTRON 75/ENCAPTRON 96</v>
      </c>
      <c r="K34" s="44" t="str">
        <f t="shared" si="2"/>
        <v>CAPTRON 75/ENCAPTRON 96</v>
      </c>
      <c r="L34" s="84">
        <f t="shared" si="7"/>
        <v>50</v>
      </c>
      <c r="M34" s="45">
        <f t="shared" si="8"/>
        <v>0.99999999999999956</v>
      </c>
      <c r="N34" s="44" t="str">
        <f t="shared" si="3"/>
        <v>CAPTRON 75/ENCAPTRON 96</v>
      </c>
      <c r="O34" s="84">
        <f t="shared" si="9"/>
        <v>548.75</v>
      </c>
      <c r="P34" s="45">
        <f t="shared" si="10"/>
        <v>1</v>
      </c>
      <c r="Y34" s="143">
        <f t="shared" si="11"/>
        <v>1.3740599438644915E-3</v>
      </c>
      <c r="Z34" s="124">
        <f t="shared" si="12"/>
        <v>548.75</v>
      </c>
      <c r="AA34" s="74">
        <f t="shared" si="13"/>
        <v>5.4432221185516869E-4</v>
      </c>
      <c r="AB34" s="124">
        <f t="shared" si="14"/>
        <v>50</v>
      </c>
    </row>
    <row r="35" spans="1:28">
      <c r="C35" s="92">
        <f>SUM(C4:C34)</f>
        <v>91857.357482416701</v>
      </c>
      <c r="D35" s="92">
        <f t="shared" ref="D35" si="15">SUM(D4:D34)</f>
        <v>399363.94511047425</v>
      </c>
      <c r="E35" s="86"/>
      <c r="F35" s="86"/>
      <c r="G35" s="86"/>
      <c r="H35" s="86"/>
      <c r="Y35" s="143">
        <f t="shared" si="11"/>
        <v>0</v>
      </c>
      <c r="Z35" s="124">
        <f t="shared" si="12"/>
        <v>0</v>
      </c>
      <c r="AA35" s="74">
        <f t="shared" si="13"/>
        <v>0</v>
      </c>
      <c r="AB35" s="124">
        <f t="shared" si="14"/>
        <v>0</v>
      </c>
    </row>
    <row r="43" spans="1:28">
      <c r="J43" s="218" t="s">
        <v>1285</v>
      </c>
      <c r="K43" s="218"/>
      <c r="L43" s="218"/>
      <c r="M43" s="218"/>
      <c r="N43" s="218"/>
      <c r="O43" s="218"/>
      <c r="P43" s="218"/>
      <c r="Q43" s="218"/>
      <c r="R43" s="218"/>
      <c r="S43" s="218"/>
      <c r="T43" s="218"/>
      <c r="U43" s="218"/>
      <c r="V43" s="218"/>
      <c r="W43" s="218"/>
      <c r="X43" s="218"/>
    </row>
    <row r="44" spans="1:28">
      <c r="J44" s="218"/>
      <c r="K44" s="218"/>
      <c r="L44" s="218"/>
      <c r="M44" s="218"/>
      <c r="N44" s="218"/>
      <c r="O44" s="218"/>
      <c r="P44" s="218"/>
      <c r="Q44" s="218"/>
      <c r="R44" s="218"/>
      <c r="S44" s="218"/>
      <c r="T44" s="218"/>
      <c r="U44" s="218"/>
      <c r="V44" s="218"/>
      <c r="W44" s="218"/>
      <c r="X44" s="218"/>
      <c r="Z44" s="46" t="str">
        <f>'Mercado YPF'!C59</f>
        <v>Venta [USD]</v>
      </c>
      <c r="AB44" s="46" t="str">
        <f>'Mercado YPF'!J59</f>
        <v>Venta [lts]</v>
      </c>
    </row>
    <row r="45" spans="1:28">
      <c r="K45" s="219" t="s">
        <v>1279</v>
      </c>
      <c r="L45" s="220"/>
      <c r="M45" s="221"/>
      <c r="N45" s="219" t="s">
        <v>1280</v>
      </c>
      <c r="O45" s="220"/>
      <c r="P45" s="221"/>
    </row>
    <row r="46" spans="1:28" ht="22.5">
      <c r="B46" s="44" t="s">
        <v>1213</v>
      </c>
      <c r="C46" s="76" t="s">
        <v>1274</v>
      </c>
      <c r="D46" s="76" t="s">
        <v>1273</v>
      </c>
      <c r="K46" s="41" t="s">
        <v>1198</v>
      </c>
      <c r="L46" s="41" t="s">
        <v>1278</v>
      </c>
      <c r="M46" s="41" t="s">
        <v>1282</v>
      </c>
      <c r="N46" s="41" t="s">
        <v>1198</v>
      </c>
      <c r="O46" s="41" t="s">
        <v>1281</v>
      </c>
      <c r="P46" s="41" t="s">
        <v>1282</v>
      </c>
      <c r="Y46" s="217" t="s">
        <v>1275</v>
      </c>
      <c r="Z46" s="217"/>
      <c r="AA46" s="217" t="s">
        <v>1270</v>
      </c>
      <c r="AB46" s="217"/>
    </row>
    <row r="47" spans="1:28" ht="11.25" customHeight="1">
      <c r="B47" s="88" t="s">
        <v>46</v>
      </c>
      <c r="C47" s="84">
        <f t="shared" ref="C47:C62" si="16">SUMIF($B$4:$B$34,B47,$C$4:$C$34)</f>
        <v>12914.901750000001</v>
      </c>
      <c r="D47" s="84">
        <f t="shared" ref="D47:D62" si="17">SUMIF($B$4:$B$34,B47,$D$4:$D$34)</f>
        <v>56439.269665</v>
      </c>
      <c r="I47" s="89" t="str">
        <f>B47</f>
        <v>DISOLVENTE DE PARAFINAS Y ASFALTENOS</v>
      </c>
      <c r="J47" s="90"/>
      <c r="K47" s="44" t="str">
        <f>VLOOKUP(VLOOKUP(L47,$C$47:$I$62,7,0),LP!$B:$J,9,0)</f>
        <v>DB</v>
      </c>
      <c r="L47" s="84">
        <f>MAX($C$47:$C$62)</f>
        <v>22069.060954499997</v>
      </c>
      <c r="M47" s="45">
        <f>L47/SUM($L$47:$L$62)</f>
        <v>0.24025360144639971</v>
      </c>
      <c r="N47" s="44" t="str">
        <f>VLOOKUP(VLOOKUP(O47,$D$47:$I$62,6,0),LP!$B:$J,9,0)</f>
        <v>DB</v>
      </c>
      <c r="O47" s="84">
        <f>MAX($D$47:$D$62)</f>
        <v>87077.591114174997</v>
      </c>
      <c r="P47" s="45">
        <f>O47/SUM($O$47:$O$62)</f>
        <v>0.21804069240673976</v>
      </c>
      <c r="Y47" s="74">
        <f>O47/SUM($O$47:$O$62)</f>
        <v>0.21804069240673976</v>
      </c>
      <c r="Z47" s="124">
        <f>IF($Z$44="Venta [USD]",O47,Y47*100)</f>
        <v>87077.591114174997</v>
      </c>
      <c r="AA47" s="74">
        <f>L47/SUM($L$47:$L$62)</f>
        <v>0.24025360144639971</v>
      </c>
      <c r="AB47" s="124">
        <f>IF($AB$44="Venta [lts]",L47,AA47*100)</f>
        <v>22069.060954499997</v>
      </c>
    </row>
    <row r="48" spans="1:28" ht="11.25" customHeight="1">
      <c r="B48" s="88" t="s">
        <v>14</v>
      </c>
      <c r="C48" s="84">
        <f t="shared" si="16"/>
        <v>8160.724874999999</v>
      </c>
      <c r="D48" s="84">
        <f t="shared" si="17"/>
        <v>44639.165066249996</v>
      </c>
      <c r="I48" s="89" t="str">
        <f t="shared" ref="I48:I62" si="18">B48</f>
        <v>INHIBIDOR DE PARAFINAS Y ASFALTENOS</v>
      </c>
      <c r="J48" s="90"/>
      <c r="K48" s="44" t="str">
        <f>VLOOKUP(VLOOKUP(L48,$C$47:$I$62,7,0),LP!$B:$J,9,0)</f>
        <v>DP</v>
      </c>
      <c r="L48" s="84">
        <f t="shared" ref="L48:L62" si="19">_xlfn.MAXIFS($C$47:$C$62,$C$47:$C$62,"&lt;"&amp;L47)</f>
        <v>12914.901750000001</v>
      </c>
      <c r="M48" s="45">
        <f t="shared" ref="M48:M62" si="20">L48/SUM($L$47:$L$62)+M47</f>
        <v>0.38085095917544354</v>
      </c>
      <c r="N48" s="44" t="str">
        <f>VLOOKUP(VLOOKUP(O48,$D$47:$I$62,6,0),LP!$B:$J,9,0)</f>
        <v>DP</v>
      </c>
      <c r="O48" s="84">
        <f t="shared" ref="O48:O62" si="21">_xlfn.MAXIFS($D$47:$D$62,$D$47:$D$62,"&lt;"&amp;O47)</f>
        <v>56439.269665</v>
      </c>
      <c r="P48" s="45">
        <f t="shared" ref="P48:P62" si="22">O48/SUM($O$47:$O$62)+P47</f>
        <v>0.35936358936827562</v>
      </c>
      <c r="Y48" s="74">
        <f t="shared" ref="Y48:Y62" si="23">O48/SUM($O$47:$O$62)</f>
        <v>0.14132289696153585</v>
      </c>
      <c r="Z48" s="124">
        <f t="shared" ref="Z48:Z62" si="24">IF($Z$44="Venta [USD]",O48,Y48*100)</f>
        <v>56439.269665</v>
      </c>
      <c r="AA48" s="74">
        <f t="shared" ref="AA48:AA62" si="25">L48/SUM($L$47:$L$62)</f>
        <v>0.14059735772904386</v>
      </c>
      <c r="AB48" s="124">
        <f t="shared" ref="AB48:AB62" si="26">IF($AB$44="Venta [lts]",L48,AA48*100)</f>
        <v>12914.901750000001</v>
      </c>
    </row>
    <row r="49" spans="2:28" ht="11.25" customHeight="1">
      <c r="B49" s="88" t="s">
        <v>103</v>
      </c>
      <c r="C49" s="84">
        <f t="shared" si="16"/>
        <v>10279.792437500002</v>
      </c>
      <c r="D49" s="84">
        <f t="shared" si="17"/>
        <v>43050.97253562502</v>
      </c>
      <c r="I49" s="89" t="str">
        <f t="shared" si="18"/>
        <v>REDUCTOR DE FRICCIÓN</v>
      </c>
      <c r="J49" s="90"/>
      <c r="K49" s="44" t="str">
        <f>VLOOKUP(VLOOKUP(L49,$C$47:$I$62,7,0),LP!$B:$J,9,0)</f>
        <v>RF</v>
      </c>
      <c r="L49" s="84">
        <f>_xlfn.MAXIFS($C$47:$C$62,$C$47:$C$62,"&lt;"&amp;L48)</f>
        <v>10279.792437500002</v>
      </c>
      <c r="M49" s="45">
        <f t="shared" si="20"/>
        <v>0.49276134631528434</v>
      </c>
      <c r="N49" s="44" t="str">
        <f>VLOOKUP(VLOOKUP(O49,$D$47:$I$62,6,0),LP!$B:$J,9,0)</f>
        <v>IP</v>
      </c>
      <c r="O49" s="84">
        <f t="shared" si="21"/>
        <v>44639.165066249996</v>
      </c>
      <c r="P49" s="45">
        <f t="shared" si="22"/>
        <v>0.47113924065773211</v>
      </c>
      <c r="Y49" s="74">
        <f t="shared" si="23"/>
        <v>0.11177565128945649</v>
      </c>
      <c r="Z49" s="124">
        <f t="shared" si="24"/>
        <v>44639.165066249996</v>
      </c>
      <c r="AA49" s="74">
        <f t="shared" si="25"/>
        <v>0.11191038713984081</v>
      </c>
      <c r="AB49" s="124">
        <f t="shared" si="26"/>
        <v>10279.792437500002</v>
      </c>
    </row>
    <row r="50" spans="2:28" ht="11.25" customHeight="1">
      <c r="B50" s="88" t="s">
        <v>17</v>
      </c>
      <c r="C50" s="84">
        <f t="shared" si="16"/>
        <v>6435.429361999998</v>
      </c>
      <c r="D50" s="84">
        <f t="shared" si="17"/>
        <v>16088.573404999996</v>
      </c>
      <c r="I50" s="89" t="str">
        <f t="shared" si="18"/>
        <v>ANTIESPUMANTE</v>
      </c>
      <c r="J50" s="90"/>
      <c r="K50" s="44" t="str">
        <f>VLOOKUP(VLOOKUP(L50,$C$47:$I$62,7,0),LP!$B:$J,9,0)</f>
        <v>IC</v>
      </c>
      <c r="L50" s="84">
        <f t="shared" si="19"/>
        <v>10208.969414666666</v>
      </c>
      <c r="M50" s="45">
        <f t="shared" si="20"/>
        <v>0.60390072256634697</v>
      </c>
      <c r="N50" s="44" t="str">
        <f>VLOOKUP(VLOOKUP(O50,$D$47:$I$62,6,0),LP!$B:$J,9,0)</f>
        <v>RF</v>
      </c>
      <c r="O50" s="84">
        <f t="shared" si="21"/>
        <v>43050.97253562502</v>
      </c>
      <c r="P50" s="45">
        <f t="shared" si="22"/>
        <v>0.57893808695497617</v>
      </c>
      <c r="Y50" s="74">
        <f t="shared" si="23"/>
        <v>0.10779884629724408</v>
      </c>
      <c r="Z50" s="124">
        <f t="shared" si="24"/>
        <v>43050.97253562502</v>
      </c>
      <c r="AA50" s="74">
        <f t="shared" si="25"/>
        <v>0.11113937625106259</v>
      </c>
      <c r="AB50" s="124">
        <f t="shared" si="26"/>
        <v>10208.969414666666</v>
      </c>
    </row>
    <row r="51" spans="2:28" ht="11.25" customHeight="1">
      <c r="B51" s="88" t="s">
        <v>13</v>
      </c>
      <c r="C51" s="84">
        <f t="shared" si="16"/>
        <v>22069.060954499997</v>
      </c>
      <c r="D51" s="84">
        <f t="shared" si="17"/>
        <v>87077.591114174997</v>
      </c>
      <c r="I51" s="89" t="str">
        <f t="shared" si="18"/>
        <v>DESEMULSIONANTE</v>
      </c>
      <c r="J51" s="90"/>
      <c r="K51" s="44" t="str">
        <f>VLOOKUP(VLOOKUP(L51,$C$47:$I$62,7,0),LP!$B:$J,9,0)</f>
        <v>IP</v>
      </c>
      <c r="L51" s="84">
        <f t="shared" si="19"/>
        <v>8160.724874999999</v>
      </c>
      <c r="M51" s="45">
        <f t="shared" si="20"/>
        <v>0.69274199885237686</v>
      </c>
      <c r="N51" s="44" t="str">
        <f>VLOOKUP(VLOOKUP(O51,$D$47:$I$62,6,0),LP!$B:$J,9,0)</f>
        <v>IC</v>
      </c>
      <c r="O51" s="84">
        <f t="shared" si="21"/>
        <v>39367.666755453327</v>
      </c>
      <c r="P51" s="45">
        <f t="shared" si="22"/>
        <v>0.67751400307720711</v>
      </c>
      <c r="Y51" s="74">
        <f t="shared" si="23"/>
        <v>9.8575916122230905E-2</v>
      </c>
      <c r="Z51" s="124">
        <f t="shared" si="24"/>
        <v>39367.666755453327</v>
      </c>
      <c r="AA51" s="74">
        <f t="shared" si="25"/>
        <v>8.8841276286029933E-2</v>
      </c>
      <c r="AB51" s="124">
        <f t="shared" si="26"/>
        <v>8160.724874999999</v>
      </c>
    </row>
    <row r="52" spans="2:28" ht="11.25" customHeight="1">
      <c r="B52" s="88" t="s">
        <v>12</v>
      </c>
      <c r="C52" s="84">
        <f t="shared" si="16"/>
        <v>10208.969414666666</v>
      </c>
      <c r="D52" s="84">
        <f t="shared" si="17"/>
        <v>39367.666755453327</v>
      </c>
      <c r="I52" s="89" t="str">
        <f t="shared" si="18"/>
        <v>INHIBIDOR DE INCRUSTACIONES</v>
      </c>
      <c r="J52" s="90"/>
      <c r="K52" s="44" t="str">
        <f>VLOOKUP(VLOOKUP(L52,$C$47:$I$62,7,0),LP!$B:$J,9,0)</f>
        <v>AB</v>
      </c>
      <c r="L52" s="84">
        <f t="shared" si="19"/>
        <v>6435.429361999998</v>
      </c>
      <c r="M52" s="45">
        <f t="shared" si="20"/>
        <v>0.76280094174360757</v>
      </c>
      <c r="N52" s="44" t="str">
        <f>VLOOKUP(VLOOKUP(O52,$D$47:$I$62,6,0),LP!$B:$J,9,0)</f>
        <v>BX</v>
      </c>
      <c r="O52" s="84">
        <f t="shared" si="21"/>
        <v>36085.292985</v>
      </c>
      <c r="P52" s="45">
        <f t="shared" si="22"/>
        <v>0.76787091542946739</v>
      </c>
      <c r="Y52" s="74">
        <f t="shared" si="23"/>
        <v>9.0356912352260288E-2</v>
      </c>
      <c r="Z52" s="124">
        <f t="shared" si="24"/>
        <v>36085.292985</v>
      </c>
      <c r="AA52" s="74">
        <f t="shared" si="25"/>
        <v>7.0058942891230755E-2</v>
      </c>
      <c r="AB52" s="124">
        <f t="shared" si="26"/>
        <v>6435.429361999998</v>
      </c>
    </row>
    <row r="53" spans="2:28" ht="11.25" customHeight="1">
      <c r="B53" s="88" t="s">
        <v>10</v>
      </c>
      <c r="C53" s="84">
        <f t="shared" si="16"/>
        <v>6019.8652499999989</v>
      </c>
      <c r="D53" s="84">
        <f t="shared" si="17"/>
        <v>36085.292985</v>
      </c>
      <c r="I53" s="89" t="str">
        <f t="shared" si="18"/>
        <v>BACTERICIDA</v>
      </c>
      <c r="J53" s="90"/>
      <c r="K53" s="44" t="str">
        <f>VLOOKUP(VLOOKUP(L53,$C$47:$I$62,7,0),LP!$B:$J,9,0)</f>
        <v>BX</v>
      </c>
      <c r="L53" s="84">
        <f t="shared" si="19"/>
        <v>6019.8652499999989</v>
      </c>
      <c r="M53" s="45">
        <f t="shared" si="20"/>
        <v>0.82833586910260892</v>
      </c>
      <c r="N53" s="44" t="str">
        <f>VLOOKUP(VLOOKUP(O53,$D$47:$I$62,6,0),LP!$B:$J,9,0)</f>
        <v>RT</v>
      </c>
      <c r="O53" s="84">
        <f t="shared" si="21"/>
        <v>22694.247240000004</v>
      </c>
      <c r="P53" s="45">
        <f t="shared" si="22"/>
        <v>0.82469689463428075</v>
      </c>
      <c r="Y53" s="74">
        <f t="shared" si="23"/>
        <v>5.6825979204813304E-2</v>
      </c>
      <c r="Z53" s="124">
        <f t="shared" si="24"/>
        <v>22694.247240000004</v>
      </c>
      <c r="AA53" s="74">
        <f t="shared" si="25"/>
        <v>6.5534927359001391E-2</v>
      </c>
      <c r="AB53" s="124">
        <f t="shared" si="26"/>
        <v>6019.8652499999989</v>
      </c>
    </row>
    <row r="54" spans="2:28" ht="11.25" customHeight="1">
      <c r="B54" s="88" t="s">
        <v>44</v>
      </c>
      <c r="C54" s="84">
        <f t="shared" si="16"/>
        <v>4171.7366250000005</v>
      </c>
      <c r="D54" s="84">
        <f t="shared" si="17"/>
        <v>22694.247240000004</v>
      </c>
      <c r="I54" s="89" t="str">
        <f t="shared" si="18"/>
        <v>RUPTOR</v>
      </c>
      <c r="J54" s="90"/>
      <c r="K54" s="44" t="str">
        <f>VLOOKUP(VLOOKUP(L54,$C$47:$I$62,7,0),LP!$B:$J,9,0)</f>
        <v>RT</v>
      </c>
      <c r="L54" s="84">
        <f t="shared" si="19"/>
        <v>4171.7366250000005</v>
      </c>
      <c r="M54" s="45">
        <f t="shared" si="20"/>
        <v>0.87375124724255326</v>
      </c>
      <c r="N54" s="44" t="str">
        <f>VLOOKUP(VLOOKUP(O54,$D$47:$I$62,6,0),LP!$B:$J,9,0)</f>
        <v>IC/CY</v>
      </c>
      <c r="O54" s="84">
        <f t="shared" si="21"/>
        <v>18871.75</v>
      </c>
      <c r="P54" s="45">
        <f t="shared" si="22"/>
        <v>0.87195141079942828</v>
      </c>
      <c r="Y54" s="74">
        <f t="shared" si="23"/>
        <v>4.7254516165147552E-2</v>
      </c>
      <c r="Z54" s="124">
        <f t="shared" si="24"/>
        <v>18871.75</v>
      </c>
      <c r="AA54" s="74">
        <f t="shared" si="25"/>
        <v>4.5415378139944361E-2</v>
      </c>
      <c r="AB54" s="124">
        <f t="shared" si="26"/>
        <v>4171.7366250000005</v>
      </c>
    </row>
    <row r="55" spans="2:28" ht="11.25" customHeight="1">
      <c r="B55" s="88" t="s">
        <v>156</v>
      </c>
      <c r="C55" s="84">
        <f t="shared" si="16"/>
        <v>2141.666666666667</v>
      </c>
      <c r="D55" s="84">
        <f t="shared" si="17"/>
        <v>18871.75</v>
      </c>
      <c r="I55" s="89" t="str">
        <f t="shared" si="18"/>
        <v>INHIBIDOR DE INCRUSTACIÓN/CORROSIÓN</v>
      </c>
      <c r="J55" s="90"/>
      <c r="K55" s="44" t="str">
        <f>VLOOKUP(VLOOKUP(L55,$C$47:$I$62,7,0),LP!$B:$J,9,0)</f>
        <v>CY</v>
      </c>
      <c r="L55" s="84">
        <f t="shared" si="19"/>
        <v>3347.6346333333336</v>
      </c>
      <c r="M55" s="45">
        <f t="shared" si="20"/>
        <v>0.91019508500453261</v>
      </c>
      <c r="N55" s="44" t="str">
        <f>VLOOKUP(VLOOKUP(O55,$D$47:$I$62,6,0),LP!$B:$J,9,0)</f>
        <v>AB</v>
      </c>
      <c r="O55" s="84">
        <f t="shared" si="21"/>
        <v>16088.573404999996</v>
      </c>
      <c r="P55" s="45">
        <f t="shared" si="22"/>
        <v>0.91223690377388666</v>
      </c>
      <c r="Y55" s="74">
        <f t="shared" si="23"/>
        <v>4.0285492974458402E-2</v>
      </c>
      <c r="Z55" s="124">
        <f t="shared" si="24"/>
        <v>16088.573404999996</v>
      </c>
      <c r="AA55" s="74">
        <f t="shared" si="25"/>
        <v>3.6443837761979354E-2</v>
      </c>
      <c r="AB55" s="124">
        <f t="shared" si="26"/>
        <v>3347.6346333333336</v>
      </c>
    </row>
    <row r="56" spans="2:28" ht="11.25" customHeight="1">
      <c r="B56" s="88" t="s">
        <v>111</v>
      </c>
      <c r="C56" s="84">
        <f t="shared" si="16"/>
        <v>1718.6444999999999</v>
      </c>
      <c r="D56" s="84">
        <f t="shared" si="17"/>
        <v>7446.7183500000001</v>
      </c>
      <c r="I56" s="89" t="str">
        <f t="shared" si="18"/>
        <v>CLARIFICANTE</v>
      </c>
      <c r="J56" s="90"/>
      <c r="K56" s="44" t="str">
        <f>VLOOKUP(VLOOKUP(L56,$C$47:$I$62,7,0),LP!$B:$J,9,0)</f>
        <v>IC/CY</v>
      </c>
      <c r="L56" s="84">
        <f t="shared" si="19"/>
        <v>2141.666666666667</v>
      </c>
      <c r="M56" s="45">
        <f t="shared" si="20"/>
        <v>0.9335102197456624</v>
      </c>
      <c r="N56" s="44" t="str">
        <f>VLOOKUP(VLOOKUP(O56,$D$47:$I$62,6,0),LP!$B:$J,9,0)</f>
        <v>CY</v>
      </c>
      <c r="O56" s="84">
        <f t="shared" si="21"/>
        <v>9886.2317783333347</v>
      </c>
      <c r="P56" s="45">
        <f t="shared" si="22"/>
        <v>0.93699184697637972</v>
      </c>
      <c r="Y56" s="74">
        <f t="shared" si="23"/>
        <v>2.4754943202493038E-2</v>
      </c>
      <c r="Z56" s="124">
        <f t="shared" si="24"/>
        <v>9886.2317783333347</v>
      </c>
      <c r="AA56" s="74">
        <f t="shared" si="25"/>
        <v>2.3315134741129742E-2</v>
      </c>
      <c r="AB56" s="124">
        <f t="shared" si="26"/>
        <v>2141.666666666667</v>
      </c>
    </row>
    <row r="57" spans="2:28" ht="11.25" customHeight="1">
      <c r="B57" s="88" t="s">
        <v>29</v>
      </c>
      <c r="C57" s="84">
        <f t="shared" si="16"/>
        <v>1326.6395137499999</v>
      </c>
      <c r="D57" s="84">
        <f t="shared" si="17"/>
        <v>5850.4802556374998</v>
      </c>
      <c r="I57" s="89" t="str">
        <f t="shared" si="18"/>
        <v>HUMECTANTE DE SOLIDOS</v>
      </c>
      <c r="J57" s="90"/>
      <c r="K57" s="44" t="str">
        <f>VLOOKUP(VLOOKUP(L57,$C$47:$I$62,7,0),LP!$B:$J,9,0)</f>
        <v>FB</v>
      </c>
      <c r="L57" s="84">
        <f t="shared" si="19"/>
        <v>1718.6444999999999</v>
      </c>
      <c r="M57" s="45">
        <f t="shared" si="20"/>
        <v>0.95222014725831683</v>
      </c>
      <c r="N57" s="44" t="str">
        <f>VLOOKUP(VLOOKUP(O57,$D$47:$I$62,6,0),LP!$B:$J,9,0)</f>
        <v>FB</v>
      </c>
      <c r="O57" s="84">
        <f t="shared" si="21"/>
        <v>8511.0042599999997</v>
      </c>
      <c r="P57" s="45">
        <f t="shared" si="22"/>
        <v>0.95830324567474157</v>
      </c>
      <c r="Y57" s="74">
        <f t="shared" si="23"/>
        <v>2.1311398698361819E-2</v>
      </c>
      <c r="Z57" s="124">
        <f t="shared" si="24"/>
        <v>8511.0042599999997</v>
      </c>
      <c r="AA57" s="74">
        <f t="shared" si="25"/>
        <v>1.8709927512654417E-2</v>
      </c>
      <c r="AB57" s="124">
        <f t="shared" si="26"/>
        <v>1718.6444999999999</v>
      </c>
    </row>
    <row r="58" spans="2:28" ht="11.25" customHeight="1">
      <c r="B58" s="88" t="s">
        <v>78</v>
      </c>
      <c r="C58" s="84">
        <f t="shared" si="16"/>
        <v>1414.6815000000001</v>
      </c>
      <c r="D58" s="84">
        <f t="shared" si="17"/>
        <v>8511.0042599999997</v>
      </c>
      <c r="I58" s="89" t="str">
        <f t="shared" si="18"/>
        <v>FLOCULANTE</v>
      </c>
      <c r="J58" s="90"/>
      <c r="K58" s="44" t="str">
        <f>VLOOKUP(VLOOKUP(L58,$C$47:$I$62,7,0),LP!$B:$J,9,0)</f>
        <v>FB</v>
      </c>
      <c r="L58" s="84">
        <f t="shared" si="19"/>
        <v>1414.6815000000001</v>
      </c>
      <c r="M58" s="45">
        <f t="shared" si="20"/>
        <v>0.96762099852132855</v>
      </c>
      <c r="N58" s="44" t="str">
        <f>VLOOKUP(VLOOKUP(O58,$D$47:$I$62,6,0),LP!$B:$J,9,0)</f>
        <v>FB</v>
      </c>
      <c r="O58" s="84">
        <f t="shared" si="21"/>
        <v>7446.7183500000001</v>
      </c>
      <c r="P58" s="45">
        <f t="shared" si="22"/>
        <v>0.97694969195806858</v>
      </c>
      <c r="Y58" s="74">
        <f t="shared" si="23"/>
        <v>1.864644628332698E-2</v>
      </c>
      <c r="Z58" s="124">
        <f t="shared" si="24"/>
        <v>7446.7183500000001</v>
      </c>
      <c r="AA58" s="74">
        <f t="shared" si="25"/>
        <v>1.5400851263011767E-2</v>
      </c>
      <c r="AB58" s="124">
        <f t="shared" si="26"/>
        <v>1414.6815000000001</v>
      </c>
    </row>
    <row r="59" spans="2:28" ht="11.25" customHeight="1">
      <c r="B59" s="88" t="s">
        <v>19</v>
      </c>
      <c r="C59" s="84">
        <f t="shared" si="16"/>
        <v>3347.6346333333336</v>
      </c>
      <c r="D59" s="84">
        <f t="shared" si="17"/>
        <v>9886.2317783333347</v>
      </c>
      <c r="I59" s="89" t="str">
        <f t="shared" si="18"/>
        <v>INHIBIDOR DE CORROSIÓN</v>
      </c>
      <c r="J59" s="90"/>
      <c r="K59" s="44" t="str">
        <f>VLOOKUP(VLOOKUP(L59,$C$47:$I$62,7,0),LP!$B:$J,9,0)</f>
        <v>HS</v>
      </c>
      <c r="L59" s="84">
        <f t="shared" si="19"/>
        <v>1326.6395137499999</v>
      </c>
      <c r="M59" s="45">
        <f t="shared" si="20"/>
        <v>0.98206338561050588</v>
      </c>
      <c r="N59" s="44" t="str">
        <f>VLOOKUP(VLOOKUP(O59,$D$47:$I$62,6,0),LP!$B:$J,9,0)</f>
        <v>HS</v>
      </c>
      <c r="O59" s="84">
        <f t="shared" si="21"/>
        <v>5850.4802556374998</v>
      </c>
      <c r="P59" s="45">
        <f t="shared" si="22"/>
        <v>0.99159918730502361</v>
      </c>
      <c r="Y59" s="74">
        <f t="shared" si="23"/>
        <v>1.4649495346955043E-2</v>
      </c>
      <c r="Z59" s="124">
        <f t="shared" si="24"/>
        <v>5850.4802556374998</v>
      </c>
      <c r="AA59" s="74">
        <f t="shared" si="25"/>
        <v>1.4442387089177316E-2</v>
      </c>
      <c r="AB59" s="124">
        <f t="shared" si="26"/>
        <v>1326.6395137499999</v>
      </c>
    </row>
    <row r="60" spans="2:28" ht="11.25" customHeight="1">
      <c r="B60" s="88" t="s">
        <v>80</v>
      </c>
      <c r="C60" s="84">
        <f t="shared" si="16"/>
        <v>1041.575</v>
      </c>
      <c r="D60" s="84">
        <f t="shared" si="17"/>
        <v>1958.1610000000001</v>
      </c>
      <c r="I60" s="89" t="str">
        <f t="shared" si="18"/>
        <v>SECUESTRANTE DE SULFHÍDRICO</v>
      </c>
      <c r="J60" s="90"/>
      <c r="K60" s="44" t="str">
        <f>VLOOKUP(VLOOKUP(L60,$C$47:$I$62,7,0),LP!$B:$J,9,0)</f>
        <v>BS</v>
      </c>
      <c r="L60" s="84">
        <f t="shared" si="19"/>
        <v>1041.575</v>
      </c>
      <c r="M60" s="45">
        <f t="shared" si="20"/>
        <v>0.99340243376676685</v>
      </c>
      <c r="N60" s="44" t="str">
        <f>VLOOKUP(VLOOKUP(O60,$D$47:$I$62,6,0),LP!$B:$J,9,0)</f>
        <v>BS</v>
      </c>
      <c r="O60" s="84">
        <f t="shared" si="21"/>
        <v>1958.1610000000001</v>
      </c>
      <c r="P60" s="45">
        <f t="shared" si="22"/>
        <v>0.99650238656468215</v>
      </c>
      <c r="Y60" s="74">
        <f t="shared" si="23"/>
        <v>4.9031992596585642E-3</v>
      </c>
      <c r="Z60" s="124">
        <f t="shared" si="24"/>
        <v>1958.1610000000001</v>
      </c>
      <c r="AA60" s="74">
        <f t="shared" si="25"/>
        <v>1.1339048156260953E-2</v>
      </c>
      <c r="AB60" s="124">
        <f t="shared" si="26"/>
        <v>1041.575</v>
      </c>
    </row>
    <row r="61" spans="2:28" ht="11.25" customHeight="1">
      <c r="B61" s="88" t="s">
        <v>152</v>
      </c>
      <c r="C61" s="84">
        <f t="shared" si="16"/>
        <v>71.674999999999997</v>
      </c>
      <c r="D61" s="84">
        <f t="shared" si="17"/>
        <v>718.18349999999998</v>
      </c>
      <c r="I61" s="89" t="str">
        <f t="shared" si="18"/>
        <v>REDUCTOR DE VISCOSIDAD</v>
      </c>
      <c r="J61" s="90"/>
      <c r="K61" s="44" t="str">
        <f>VLOOKUP(VLOOKUP(L61,$C$47:$I$62,7,0),LP!$B:$J,9,0)</f>
        <v>SO</v>
      </c>
      <c r="L61" s="84">
        <f t="shared" si="19"/>
        <v>534.36</v>
      </c>
      <c r="M61" s="45">
        <f t="shared" si="20"/>
        <v>0.99921971410930543</v>
      </c>
      <c r="N61" s="44" t="str">
        <f>VLOOKUP(VLOOKUP(O61,$D$47:$I$62,6,0),LP!$B:$J,9,0)</f>
        <v>RV</v>
      </c>
      <c r="O61" s="84">
        <f t="shared" si="21"/>
        <v>718.18349999999998</v>
      </c>
      <c r="P61" s="45">
        <f t="shared" si="22"/>
        <v>0.99830070488758771</v>
      </c>
      <c r="Y61" s="74">
        <f t="shared" si="23"/>
        <v>1.79831832290552E-3</v>
      </c>
      <c r="Z61" s="124">
        <f t="shared" si="24"/>
        <v>718.18349999999998</v>
      </c>
      <c r="AA61" s="74">
        <f t="shared" si="25"/>
        <v>5.8172803425385619E-3</v>
      </c>
      <c r="AB61" s="124">
        <f t="shared" si="26"/>
        <v>534.36</v>
      </c>
    </row>
    <row r="62" spans="2:28" ht="11.25" customHeight="1">
      <c r="B62" s="88" t="s">
        <v>58</v>
      </c>
      <c r="C62" s="84">
        <f t="shared" si="16"/>
        <v>534.36</v>
      </c>
      <c r="D62" s="84">
        <f t="shared" si="17"/>
        <v>678.63720000000001</v>
      </c>
      <c r="I62" s="89" t="str">
        <f t="shared" si="18"/>
        <v>SECUESTRANTE DE OXIGENO</v>
      </c>
      <c r="J62" s="90"/>
      <c r="K62" s="44" t="str">
        <f>VLOOKUP(VLOOKUP(L62,$C$47:$I$62,7,0),LP!$B:$J,9,0)</f>
        <v>RV</v>
      </c>
      <c r="L62" s="84">
        <f t="shared" si="19"/>
        <v>71.674999999999997</v>
      </c>
      <c r="M62" s="45">
        <f t="shared" si="20"/>
        <v>0.99999999999999978</v>
      </c>
      <c r="N62" s="44" t="str">
        <f>VLOOKUP(VLOOKUP(O62,$D$47:$I$62,6,0),LP!$B:$J,9,0)</f>
        <v>SO</v>
      </c>
      <c r="O62" s="84">
        <f t="shared" si="21"/>
        <v>678.63720000000001</v>
      </c>
      <c r="P62" s="45">
        <f t="shared" si="22"/>
        <v>1.0000000000000002</v>
      </c>
      <c r="Y62" s="74">
        <f t="shared" si="23"/>
        <v>1.6992951124124936E-3</v>
      </c>
      <c r="Z62" s="124">
        <f t="shared" si="24"/>
        <v>678.63720000000001</v>
      </c>
      <c r="AA62" s="74">
        <f t="shared" si="25"/>
        <v>7.802858906943847E-4</v>
      </c>
      <c r="AB62" s="124">
        <f t="shared" si="26"/>
        <v>71.674999999999997</v>
      </c>
    </row>
    <row r="63" spans="2:28" ht="11.25" customHeight="1">
      <c r="B63" s="93"/>
      <c r="C63" s="92">
        <f>SUM(C47:C62)</f>
        <v>91857.357482416672</v>
      </c>
      <c r="D63" s="92">
        <f>SUM(D47:D62)</f>
        <v>399363.94511047413</v>
      </c>
      <c r="E63" s="92"/>
      <c r="F63" s="92"/>
      <c r="G63" s="92"/>
      <c r="H63" s="92"/>
      <c r="I63" s="92"/>
      <c r="J63" s="92"/>
      <c r="K63" s="92"/>
      <c r="L63" s="92">
        <f t="shared" ref="L63:O63" si="27">SUM(L47:L62)</f>
        <v>91857.357482416672</v>
      </c>
      <c r="M63" s="92"/>
      <c r="N63" s="92"/>
      <c r="O63" s="92">
        <f t="shared" si="27"/>
        <v>399363.94511047413</v>
      </c>
      <c r="P63" s="92"/>
      <c r="Y63" s="74"/>
      <c r="Z63" s="124"/>
      <c r="AA63" s="74"/>
      <c r="AB63" s="124"/>
    </row>
    <row r="64" spans="2:28" ht="11.25" customHeight="1">
      <c r="B64"/>
      <c r="C64"/>
      <c r="D64"/>
      <c r="J64" s="49"/>
      <c r="K64" s="49"/>
      <c r="L64" s="91"/>
      <c r="M64" s="50"/>
      <c r="N64" s="49"/>
      <c r="O64" s="91"/>
      <c r="P64" s="50"/>
      <c r="Y64" s="74"/>
      <c r="Z64" s="124"/>
      <c r="AA64" s="74"/>
      <c r="AB64" s="124"/>
    </row>
    <row r="65" spans="2:28" ht="11.25" customHeight="1">
      <c r="B65"/>
      <c r="C65"/>
      <c r="D65"/>
      <c r="J65" s="49"/>
      <c r="K65" s="49"/>
      <c r="L65" s="91"/>
      <c r="M65" s="50"/>
      <c r="N65" s="49"/>
      <c r="O65" s="91"/>
      <c r="P65" s="50"/>
      <c r="Y65" s="74"/>
      <c r="Z65" s="124"/>
      <c r="AA65" s="74"/>
      <c r="AB65" s="124"/>
    </row>
    <row r="66" spans="2:28" ht="11.25" customHeight="1">
      <c r="B66"/>
      <c r="C66"/>
      <c r="D66"/>
      <c r="J66" s="49"/>
      <c r="K66" s="49"/>
      <c r="L66" s="91"/>
      <c r="M66" s="50"/>
      <c r="N66" s="49"/>
      <c r="O66" s="91"/>
      <c r="P66" s="50"/>
      <c r="Y66" s="74"/>
      <c r="Z66" s="124"/>
      <c r="AA66" s="74"/>
      <c r="AB66" s="124"/>
    </row>
    <row r="67" spans="2:28" ht="11.25" customHeight="1">
      <c r="B67"/>
      <c r="C67"/>
      <c r="D67"/>
      <c r="J67" s="49"/>
      <c r="K67" s="49"/>
      <c r="L67" s="91"/>
      <c r="M67" s="50"/>
      <c r="N67" s="49"/>
      <c r="O67" s="91"/>
      <c r="P67" s="50"/>
      <c r="Y67" s="74"/>
      <c r="Z67" s="124"/>
      <c r="AA67" s="74"/>
      <c r="AB67" s="124"/>
    </row>
    <row r="68" spans="2:28" ht="11.25" customHeight="1">
      <c r="B68"/>
      <c r="C68"/>
      <c r="D68"/>
      <c r="J68" s="49"/>
      <c r="K68" s="49"/>
      <c r="L68" s="91"/>
      <c r="M68" s="50"/>
      <c r="N68" s="49"/>
      <c r="O68" s="91"/>
      <c r="P68" s="50"/>
      <c r="Y68" s="74"/>
      <c r="Z68" s="124"/>
      <c r="AA68" s="74"/>
      <c r="AB68" s="124"/>
    </row>
    <row r="69" spans="2:28" ht="11.25" customHeight="1">
      <c r="B69"/>
      <c r="C69"/>
      <c r="D69"/>
      <c r="J69" s="49"/>
      <c r="K69" s="49"/>
      <c r="L69" s="91"/>
      <c r="M69" s="50"/>
      <c r="N69" s="49"/>
      <c r="O69" s="91"/>
      <c r="P69" s="50"/>
      <c r="Y69" s="74"/>
      <c r="Z69" s="124"/>
      <c r="AA69" s="74"/>
      <c r="AB69" s="124"/>
    </row>
    <row r="70" spans="2:28" ht="11.25" customHeight="1">
      <c r="B70"/>
      <c r="C70"/>
      <c r="D70"/>
      <c r="J70" s="49"/>
      <c r="K70" s="49"/>
      <c r="L70" s="91"/>
      <c r="M70" s="50"/>
      <c r="N70" s="49"/>
      <c r="O70" s="91"/>
      <c r="P70" s="50"/>
      <c r="Y70" s="74"/>
      <c r="Z70" s="124"/>
      <c r="AA70" s="74"/>
      <c r="AB70" s="124"/>
    </row>
    <row r="71" spans="2:28" ht="11.25" customHeight="1">
      <c r="B71"/>
      <c r="C71"/>
      <c r="D71"/>
      <c r="J71" s="49"/>
      <c r="K71" s="49"/>
      <c r="L71" s="91"/>
      <c r="M71" s="50"/>
      <c r="N71" s="49"/>
      <c r="O71" s="91"/>
      <c r="P71" s="50"/>
      <c r="Y71" s="74"/>
      <c r="Z71" s="124"/>
      <c r="AA71" s="74"/>
      <c r="AB71" s="124"/>
    </row>
    <row r="72" spans="2:28" ht="11.25" customHeight="1">
      <c r="B72"/>
      <c r="C72"/>
      <c r="D72"/>
      <c r="J72" s="49"/>
      <c r="K72" s="49"/>
      <c r="L72" s="91"/>
      <c r="M72" s="50"/>
      <c r="N72" s="49"/>
      <c r="O72" s="91"/>
      <c r="P72" s="50"/>
      <c r="Y72" s="74"/>
      <c r="Z72" s="124"/>
      <c r="AA72" s="74"/>
      <c r="AB72" s="124"/>
    </row>
    <row r="73" spans="2:28" ht="11.25" customHeight="1">
      <c r="B73"/>
      <c r="C73"/>
      <c r="D73"/>
      <c r="J73" s="49"/>
      <c r="K73" s="49"/>
      <c r="L73" s="91"/>
      <c r="M73" s="50"/>
      <c r="N73" s="49"/>
      <c r="O73" s="91"/>
      <c r="P73" s="50"/>
      <c r="Y73" s="74"/>
      <c r="Z73" s="124"/>
      <c r="AA73" s="74"/>
      <c r="AB73" s="124"/>
    </row>
    <row r="74" spans="2:28" ht="11.25" customHeight="1">
      <c r="B74"/>
      <c r="C74"/>
      <c r="D74"/>
      <c r="J74" s="49"/>
      <c r="K74" s="49"/>
      <c r="L74" s="91"/>
      <c r="M74" s="50"/>
      <c r="N74" s="49"/>
      <c r="O74" s="91"/>
      <c r="P74" s="50"/>
      <c r="Y74" s="74"/>
      <c r="Z74" s="124"/>
      <c r="AA74" s="74"/>
      <c r="AB74" s="124"/>
    </row>
    <row r="75" spans="2:28" ht="11.25" customHeight="1">
      <c r="B75"/>
      <c r="C75"/>
      <c r="D75"/>
      <c r="J75" s="49"/>
      <c r="K75" s="49"/>
      <c r="L75" s="91"/>
      <c r="M75" s="50"/>
      <c r="N75" s="49"/>
      <c r="O75" s="91"/>
      <c r="P75" s="50"/>
      <c r="Y75" s="74"/>
      <c r="Z75" s="124"/>
      <c r="AA75" s="74"/>
      <c r="AB75" s="124"/>
    </row>
    <row r="76" spans="2:28" ht="11.25" customHeight="1">
      <c r="B76"/>
      <c r="C76"/>
      <c r="D76"/>
      <c r="J76" s="49"/>
      <c r="K76" s="49"/>
      <c r="L76" s="91"/>
      <c r="M76" s="50"/>
      <c r="N76" s="49"/>
      <c r="O76" s="91"/>
      <c r="P76" s="50"/>
      <c r="Y76" s="74"/>
      <c r="Z76" s="124"/>
      <c r="AA76" s="74"/>
      <c r="AB76" s="124"/>
    </row>
    <row r="77" spans="2:28" ht="11.25" customHeight="1">
      <c r="B77"/>
      <c r="C77"/>
      <c r="D77"/>
      <c r="J77" s="49"/>
      <c r="K77" s="49"/>
      <c r="L77" s="91"/>
      <c r="M77" s="50"/>
      <c r="N77" s="49"/>
      <c r="O77" s="91"/>
      <c r="P77" s="50"/>
      <c r="Y77" s="74"/>
      <c r="Z77" s="124"/>
      <c r="AA77" s="74"/>
      <c r="AB77" s="124"/>
    </row>
    <row r="78" spans="2:28" ht="11.25" customHeight="1">
      <c r="J78" s="49"/>
      <c r="K78" s="49"/>
      <c r="L78" s="91"/>
      <c r="M78" s="50"/>
      <c r="N78" s="49"/>
      <c r="O78" s="91"/>
      <c r="P78" s="50"/>
      <c r="Y78" s="74"/>
      <c r="Z78" s="124"/>
      <c r="AA78" s="74"/>
      <c r="AB78" s="124"/>
    </row>
    <row r="79" spans="2:28" ht="11.25" customHeight="1"/>
    <row r="80" spans="2:28" ht="11.25" customHeight="1"/>
    <row r="81" spans="2:25" ht="11.25" customHeight="1"/>
    <row r="82" spans="2:25" ht="11.25" customHeight="1"/>
    <row r="83" spans="2:25" ht="11.25" customHeight="1"/>
    <row r="84" spans="2:25" ht="11.25" customHeight="1"/>
    <row r="85" spans="2:25" ht="11.25" customHeight="1"/>
    <row r="86" spans="2:25" ht="11.25" customHeight="1"/>
    <row r="87" spans="2:25" ht="11.25" customHeight="1"/>
    <row r="88" spans="2:25" ht="11.25" customHeight="1"/>
    <row r="89" spans="2:25" ht="11.25" customHeight="1">
      <c r="J89" s="218" t="s">
        <v>1336</v>
      </c>
      <c r="K89" s="218"/>
      <c r="L89" s="218"/>
      <c r="M89" s="218"/>
      <c r="N89" s="218"/>
      <c r="O89" s="218"/>
      <c r="P89" s="218"/>
      <c r="Q89" s="218"/>
      <c r="R89" s="218"/>
      <c r="S89" s="218"/>
      <c r="T89" s="218"/>
      <c r="U89" s="218"/>
      <c r="V89" s="218"/>
      <c r="W89" s="218"/>
      <c r="X89" s="218"/>
    </row>
    <row r="90" spans="2:25" ht="11.25" customHeight="1">
      <c r="J90" s="218"/>
      <c r="K90" s="218"/>
      <c r="L90" s="218"/>
      <c r="M90" s="218"/>
      <c r="N90" s="218"/>
      <c r="O90" s="218"/>
      <c r="P90" s="218"/>
      <c r="Q90" s="218"/>
      <c r="R90" s="218"/>
      <c r="S90" s="218"/>
      <c r="T90" s="218"/>
      <c r="U90" s="218"/>
      <c r="V90" s="218"/>
      <c r="W90" s="218"/>
      <c r="X90" s="218"/>
    </row>
    <row r="91" spans="2:25" ht="11.25" customHeight="1">
      <c r="T91" s="46" t="str">
        <f>'Mercado YPF'!A22</f>
        <v>Colector</v>
      </c>
      <c r="U91" s="46" t="s">
        <v>1339</v>
      </c>
      <c r="Y91" s="46" t="str">
        <f>U91&amp;"                                                      "&amp;U92&amp;"  "&amp;TEXT(S101,"0%")&amp;"  "&amp;U93</f>
        <v>Ingreso Mensual por Punto y Tipo de PQ                                                      Acumulado del  100%  de la Venta Mensual en USD</v>
      </c>
    </row>
    <row r="92" spans="2:25" ht="11.25" customHeight="1">
      <c r="B92" s="75" t="str">
        <f>T91</f>
        <v>Colector</v>
      </c>
      <c r="U92" s="46" t="s">
        <v>1340</v>
      </c>
    </row>
    <row r="93" spans="2:25" ht="11.25" customHeight="1">
      <c r="B93" s="75" t="s">
        <v>1213</v>
      </c>
      <c r="C93" s="75" t="s">
        <v>1337</v>
      </c>
      <c r="D93" s="76" t="s">
        <v>1274</v>
      </c>
      <c r="E93" s="76" t="s">
        <v>1273</v>
      </c>
      <c r="K93" s="219" t="s">
        <v>1279</v>
      </c>
      <c r="L93" s="220"/>
      <c r="M93" s="220"/>
      <c r="N93" s="221"/>
      <c r="O93" s="222" t="s">
        <v>1280</v>
      </c>
      <c r="P93" s="222"/>
      <c r="Q93" s="222"/>
      <c r="R93" s="222"/>
      <c r="U93" s="46" t="s">
        <v>1344</v>
      </c>
    </row>
    <row r="94" spans="2:25" ht="11.25" customHeight="1">
      <c r="B94" s="88" t="s">
        <v>46</v>
      </c>
      <c r="C94" s="75">
        <f>COUNTIFS(Tratamientos!$V$3:$V$259,Análisis!$B$92,Tratamientos!$J$3:$J$259,Análisis!B94)</f>
        <v>3</v>
      </c>
      <c r="D94" s="84">
        <f>SUMIFS(Tratamientos!$R$3:$R$259,Tratamientos!$V$3:$V$259,Análisis!$B$92,Tratamientos!$J$3:$J$259,Análisis!B94)</f>
        <v>4103.165</v>
      </c>
      <c r="E94" s="84">
        <f>SUMIFS(Tratamientos!$S$3:$S$259,Tratamientos!$V$3:$V$259,Análisis!$B$92,Tratamientos!$J$3:$J$259,Análisis!B94)</f>
        <v>17971.862700000001</v>
      </c>
      <c r="F94" s="94" t="str">
        <f>VLOOKUP(B94,LP!$B:$J,9,0)</f>
        <v>DP</v>
      </c>
      <c r="G94" s="95">
        <f>C94</f>
        <v>3</v>
      </c>
      <c r="H94" s="95">
        <f>D94</f>
        <v>4103.165</v>
      </c>
      <c r="K94" s="41" t="s">
        <v>1198</v>
      </c>
      <c r="L94" s="75" t="s">
        <v>1337</v>
      </c>
      <c r="M94" s="41" t="s">
        <v>1278</v>
      </c>
      <c r="N94" s="41" t="s">
        <v>1282</v>
      </c>
      <c r="O94" s="41" t="s">
        <v>1198</v>
      </c>
      <c r="P94" s="75" t="s">
        <v>1337</v>
      </c>
      <c r="Q94" s="41" t="s">
        <v>1281</v>
      </c>
      <c r="R94" s="41" t="s">
        <v>1282</v>
      </c>
      <c r="T94" s="99" t="s">
        <v>1213</v>
      </c>
      <c r="U94" s="99" t="s">
        <v>1337</v>
      </c>
      <c r="V94" s="99" t="s">
        <v>1273</v>
      </c>
      <c r="W94" s="94" t="s">
        <v>1338</v>
      </c>
      <c r="X94" s="94" t="s">
        <v>1338</v>
      </c>
      <c r="Y94" s="94"/>
    </row>
    <row r="95" spans="2:25" ht="11.25" customHeight="1">
      <c r="B95" s="88" t="s">
        <v>14</v>
      </c>
      <c r="C95" s="75">
        <f>COUNTIFS(Tratamientos!$V$3:$V$259,Análisis!$B$92,Tratamientos!$J$3:$J$259,Análisis!B95)</f>
        <v>1</v>
      </c>
      <c r="D95" s="84">
        <f>SUMIFS(Tratamientos!$R$3:$R$259,Tratamientos!$V$3:$V$259,Análisis!$B$92,Tratamientos!$J$3:$J$259,Análisis!B95)</f>
        <v>1634.8</v>
      </c>
      <c r="E95" s="84">
        <f>SUMIFS(Tratamientos!$S$3:$S$259,Tratamientos!$V$3:$V$259,Análisis!$B$92,Tratamientos!$J$3:$J$259,Análisis!B95)</f>
        <v>8942.3559999999998</v>
      </c>
      <c r="F95" s="94" t="str">
        <f>VLOOKUP(B95,LP!$B:$J,9,0)</f>
        <v>IP</v>
      </c>
      <c r="G95" s="95">
        <f t="shared" ref="G95:G109" si="28">C95</f>
        <v>1</v>
      </c>
      <c r="H95" s="95">
        <f t="shared" ref="H95:H109" si="29">D95</f>
        <v>1634.8</v>
      </c>
      <c r="K95" s="75" t="str">
        <f t="shared" ref="K95:K110" si="30">VLOOKUP(M95,$D$94:$F$109,3,0)</f>
        <v>DP</v>
      </c>
      <c r="L95" s="75">
        <f>VLOOKUP(M95,$D$94:$G$109,4,0)</f>
        <v>3</v>
      </c>
      <c r="M95" s="84">
        <f>MAX($D$94:$D$109)</f>
        <v>4103.165</v>
      </c>
      <c r="N95" s="45">
        <f>M95/SUM($M$95:$M$110)</f>
        <v>0.28587558467817831</v>
      </c>
      <c r="O95" s="75" t="str">
        <f t="shared" ref="O95:O110" si="31">VLOOKUP(Q95,$E$94:$F$109,2,0)</f>
        <v>DP</v>
      </c>
      <c r="P95" s="75">
        <f>VLOOKUP(Q95,$E$94:$G$109,3,0)</f>
        <v>3</v>
      </c>
      <c r="Q95" s="84">
        <f>MAX($E$94:$E$109)</f>
        <v>17971.862700000001</v>
      </c>
      <c r="R95" s="45">
        <f>Q95/SUM($Q$95:$Q$110)</f>
        <v>0.31565967353717922</v>
      </c>
      <c r="T95" s="79" t="str">
        <f>O95</f>
        <v>DP</v>
      </c>
      <c r="U95" s="79">
        <f>IF(P95=0,"",P95)</f>
        <v>3</v>
      </c>
      <c r="V95" s="80">
        <f>IF(Q95=0,"",Q95)</f>
        <v>17971.862700000001</v>
      </c>
      <c r="W95" s="94"/>
      <c r="X95" s="94"/>
      <c r="Y95" s="94">
        <f>U95</f>
        <v>3</v>
      </c>
    </row>
    <row r="96" spans="2:25" ht="11.25" customHeight="1">
      <c r="B96" s="88" t="s">
        <v>103</v>
      </c>
      <c r="C96" s="75">
        <f>COUNTIFS(Tratamientos!$V$3:$V$259,Análisis!$B$92,Tratamientos!$J$3:$J$259,Análisis!B96)</f>
        <v>2</v>
      </c>
      <c r="D96" s="84">
        <f>SUMIFS(Tratamientos!$R$3:$R$259,Tratamientos!$V$3:$V$259,Análisis!$B$92,Tratamientos!$J$3:$J$259,Análisis!B96)</f>
        <v>3269.6</v>
      </c>
      <c r="E96" s="84">
        <f>SUMIFS(Tratamientos!$S$3:$S$259,Tratamientos!$V$3:$V$259,Análisis!$B$92,Tratamientos!$J$3:$J$259,Análisis!B96)</f>
        <v>13895.8</v>
      </c>
      <c r="F96" s="94" t="str">
        <f>VLOOKUP(B96,LP!$B:$J,9,0)</f>
        <v>RF</v>
      </c>
      <c r="G96" s="95">
        <f t="shared" si="28"/>
        <v>2</v>
      </c>
      <c r="H96" s="95">
        <f t="shared" si="29"/>
        <v>3269.6</v>
      </c>
      <c r="K96" s="75" t="str">
        <f t="shared" si="30"/>
        <v>RF</v>
      </c>
      <c r="L96" s="75">
        <f t="shared" ref="L96:L110" si="32">VLOOKUP(M96,$D$94:$G$109,4,0)</f>
        <v>2</v>
      </c>
      <c r="M96" s="84">
        <f>_xlfn.MAXIFS($D$94:$D$109,$D$94:$D$109,"&lt;"&amp;M95)</f>
        <v>3269.6</v>
      </c>
      <c r="N96" s="45">
        <f t="shared" ref="N96:N110" si="33">M96/SUM($M$95:$M$110)+N95</f>
        <v>0.51367505451762463</v>
      </c>
      <c r="O96" s="75" t="str">
        <f t="shared" si="31"/>
        <v>RF</v>
      </c>
      <c r="P96" s="75">
        <f t="shared" ref="P96:P110" si="34">VLOOKUP(Q96,$E$94:$G$109,3,0)</f>
        <v>2</v>
      </c>
      <c r="Q96" s="84">
        <f>_xlfn.MAXIFS($E$94:$E$109,$E$94:$E$109,"&lt;"&amp;Q95)</f>
        <v>13895.8</v>
      </c>
      <c r="R96" s="45">
        <f t="shared" ref="R96:R110" si="35">Q96/SUM($Q$95:$Q$110)+R95</f>
        <v>0.55972695608646861</v>
      </c>
      <c r="T96" s="79" t="str">
        <f t="shared" ref="T96:T101" si="36">O96</f>
        <v>RF</v>
      </c>
      <c r="U96" s="79">
        <f t="shared" ref="U96:U101" si="37">IF(P96=0,"",P96)</f>
        <v>2</v>
      </c>
      <c r="V96" s="80">
        <f t="shared" ref="V96:V101" si="38">IF(Q96=0,"",Q96)</f>
        <v>13895.8</v>
      </c>
      <c r="W96" s="94"/>
      <c r="X96" s="94"/>
      <c r="Y96" s="94">
        <f t="shared" ref="Y96:Y110" si="39">U96</f>
        <v>2</v>
      </c>
    </row>
    <row r="97" spans="2:31" ht="11.25" customHeight="1">
      <c r="B97" s="88" t="s">
        <v>17</v>
      </c>
      <c r="C97" s="75">
        <f>COUNTIFS(Tratamientos!$V$3:$V$259,Análisis!$B$92,Tratamientos!$J$3:$J$259,Análisis!B97)</f>
        <v>3</v>
      </c>
      <c r="D97" s="84">
        <f>SUMIFS(Tratamientos!$R$3:$R$259,Tratamientos!$V$3:$V$259,Análisis!$B$92,Tratamientos!$J$3:$J$259,Análisis!B97)</f>
        <v>2956.1235619999998</v>
      </c>
      <c r="E97" s="84">
        <f>SUMIFS(Tratamientos!$S$3:$S$259,Tratamientos!$V$3:$V$259,Análisis!$B$92,Tratamientos!$J$3:$J$259,Análisis!B97)</f>
        <v>7390.3089049999999</v>
      </c>
      <c r="F97" s="94" t="str">
        <f>VLOOKUP(B97,LP!$B:$J,9,0)</f>
        <v>AB</v>
      </c>
      <c r="G97" s="95">
        <f t="shared" si="28"/>
        <v>3</v>
      </c>
      <c r="H97" s="95">
        <f t="shared" si="29"/>
        <v>2956.1235619999998</v>
      </c>
      <c r="K97" s="75" t="str">
        <f t="shared" si="30"/>
        <v>AB</v>
      </c>
      <c r="L97" s="75">
        <f t="shared" si="32"/>
        <v>3</v>
      </c>
      <c r="M97" s="84">
        <f t="shared" ref="M97:M110" si="40">_xlfn.MAXIFS($D$94:$D$109,$D$94:$D$109,"&lt;"&amp;M96)</f>
        <v>2956.1235619999998</v>
      </c>
      <c r="N97" s="45">
        <f t="shared" si="33"/>
        <v>0.71963400368678776</v>
      </c>
      <c r="O97" s="75" t="str">
        <f t="shared" si="31"/>
        <v>IP</v>
      </c>
      <c r="P97" s="75">
        <f t="shared" si="34"/>
        <v>1</v>
      </c>
      <c r="Q97" s="84">
        <f t="shared" ref="Q97:Q110" si="41">_xlfn.MAXIFS($E$94:$E$109,$E$94:$E$109,"&lt;"&amp;Q96)</f>
        <v>8942.3559999999998</v>
      </c>
      <c r="R97" s="45">
        <f t="shared" si="35"/>
        <v>0.71679143085642305</v>
      </c>
      <c r="T97" s="79" t="str">
        <f t="shared" si="36"/>
        <v>IP</v>
      </c>
      <c r="U97" s="79">
        <f t="shared" si="37"/>
        <v>1</v>
      </c>
      <c r="V97" s="80">
        <f t="shared" si="38"/>
        <v>8942.3559999999998</v>
      </c>
      <c r="W97" s="94"/>
      <c r="X97" s="94"/>
      <c r="Y97" s="94">
        <f t="shared" si="39"/>
        <v>1</v>
      </c>
    </row>
    <row r="98" spans="2:31" ht="11.25" customHeight="1">
      <c r="B98" s="88" t="s">
        <v>13</v>
      </c>
      <c r="C98" s="75">
        <f>COUNTIFS(Tratamientos!$V$3:$V$259,Análisis!$B$92,Tratamientos!$J$3:$J$259,Análisis!B98)</f>
        <v>15</v>
      </c>
      <c r="D98" s="84">
        <f>SUMIFS(Tratamientos!$R$3:$R$259,Tratamientos!$V$3:$V$259,Análisis!$B$92,Tratamientos!$J$3:$J$259,Análisis!B98)</f>
        <v>2165.1345795000007</v>
      </c>
      <c r="E98" s="84">
        <f>SUMIFS(Tratamientos!$S$3:$S$259,Tratamientos!$V$3:$V$259,Análisis!$B$92,Tratamientos!$J$3:$J$259,Análisis!B98)</f>
        <v>7913.4941579250008</v>
      </c>
      <c r="F98" s="94" t="str">
        <f>VLOOKUP(B98,LP!$B:$J,9,0)</f>
        <v>DB</v>
      </c>
      <c r="G98" s="95">
        <f t="shared" si="28"/>
        <v>15</v>
      </c>
      <c r="H98" s="95">
        <f t="shared" si="29"/>
        <v>2165.1345795000007</v>
      </c>
      <c r="K98" s="75" t="str">
        <f t="shared" si="30"/>
        <v>DB</v>
      </c>
      <c r="L98" s="75">
        <f t="shared" si="32"/>
        <v>15</v>
      </c>
      <c r="M98" s="84">
        <f t="shared" si="40"/>
        <v>2165.1345795000007</v>
      </c>
      <c r="N98" s="45">
        <f t="shared" si="33"/>
        <v>0.8704831929885839</v>
      </c>
      <c r="O98" s="75" t="str">
        <f t="shared" si="31"/>
        <v>DB</v>
      </c>
      <c r="P98" s="75">
        <f t="shared" si="34"/>
        <v>15</v>
      </c>
      <c r="Q98" s="84">
        <f t="shared" si="41"/>
        <v>7913.4941579250008</v>
      </c>
      <c r="R98" s="45">
        <f t="shared" si="35"/>
        <v>0.85578486877251514</v>
      </c>
      <c r="T98" s="79" t="str">
        <f t="shared" si="36"/>
        <v>DB</v>
      </c>
      <c r="U98" s="79">
        <f t="shared" si="37"/>
        <v>15</v>
      </c>
      <c r="V98" s="80">
        <f t="shared" si="38"/>
        <v>7913.4941579250008</v>
      </c>
      <c r="W98" s="94"/>
      <c r="X98" s="94"/>
      <c r="Y98" s="94">
        <f t="shared" si="39"/>
        <v>15</v>
      </c>
    </row>
    <row r="99" spans="2:31" ht="11.25" customHeight="1">
      <c r="B99" s="88" t="s">
        <v>12</v>
      </c>
      <c r="C99" s="75">
        <f>COUNTIFS(Tratamientos!$V$3:$V$259,Análisis!$B$92,Tratamientos!$J$3:$J$259,Análisis!B99)</f>
        <v>2</v>
      </c>
      <c r="D99" s="84">
        <f>SUMIFS(Tratamientos!$R$3:$R$259,Tratamientos!$V$3:$V$259,Análisis!$B$92,Tratamientos!$J$3:$J$259,Análisis!B99)</f>
        <v>75.688800000000015</v>
      </c>
      <c r="E99" s="84">
        <f>SUMIFS(Tratamientos!$S$3:$S$259,Tratamientos!$V$3:$V$259,Análisis!$B$92,Tratamientos!$J$3:$J$259,Análisis!B99)</f>
        <v>165.75847200000004</v>
      </c>
      <c r="F99" s="94" t="str">
        <f>VLOOKUP(B99,LP!$B:$J,9,0)</f>
        <v>IC</v>
      </c>
      <c r="G99" s="95">
        <f t="shared" si="28"/>
        <v>2</v>
      </c>
      <c r="H99" s="95">
        <f t="shared" si="29"/>
        <v>75.688800000000015</v>
      </c>
      <c r="K99" s="75" t="str">
        <f t="shared" si="30"/>
        <v>IP</v>
      </c>
      <c r="L99" s="75">
        <f t="shared" si="32"/>
        <v>1</v>
      </c>
      <c r="M99" s="84">
        <f t="shared" si="40"/>
        <v>1634.8</v>
      </c>
      <c r="N99" s="45">
        <f t="shared" si="33"/>
        <v>0.98438292790830706</v>
      </c>
      <c r="O99" s="75" t="str">
        <f t="shared" si="31"/>
        <v>AB</v>
      </c>
      <c r="P99" s="75">
        <f t="shared" si="34"/>
        <v>3</v>
      </c>
      <c r="Q99" s="84">
        <f t="shared" si="41"/>
        <v>7390.3089049999999</v>
      </c>
      <c r="R99" s="45">
        <f t="shared" si="35"/>
        <v>0.98558902626205613</v>
      </c>
      <c r="T99" s="79" t="str">
        <f t="shared" si="36"/>
        <v>AB</v>
      </c>
      <c r="U99" s="79">
        <f t="shared" si="37"/>
        <v>3</v>
      </c>
      <c r="V99" s="80">
        <f t="shared" si="38"/>
        <v>7390.3089049999999</v>
      </c>
      <c r="W99" s="94"/>
      <c r="X99" s="94"/>
      <c r="Y99" s="94">
        <f t="shared" si="39"/>
        <v>3</v>
      </c>
    </row>
    <row r="100" spans="2:31" ht="11.25" customHeight="1">
      <c r="B100" s="88" t="s">
        <v>10</v>
      </c>
      <c r="C100" s="75">
        <f>COUNTIFS(Tratamientos!$V$3:$V$259,Análisis!$B$92,Tratamientos!$J$3:$J$259,Análisis!B100)</f>
        <v>0</v>
      </c>
      <c r="D100" s="84">
        <f>SUMIFS(Tratamientos!$R$3:$R$259,Tratamientos!$V$3:$V$259,Análisis!$B$92,Tratamientos!$J$3:$J$259,Análisis!B100)</f>
        <v>0</v>
      </c>
      <c r="E100" s="84">
        <f>SUMIFS(Tratamientos!$S$3:$S$259,Tratamientos!$V$3:$V$259,Análisis!$B$92,Tratamientos!$J$3:$J$259,Análisis!B100)</f>
        <v>0</v>
      </c>
      <c r="F100" s="94" t="str">
        <f>VLOOKUP(B100,LP!$B:$J,9,0)</f>
        <v>BX</v>
      </c>
      <c r="G100" s="95">
        <f t="shared" si="28"/>
        <v>0</v>
      </c>
      <c r="H100" s="95">
        <f t="shared" si="29"/>
        <v>0</v>
      </c>
      <c r="K100" s="75" t="str">
        <f t="shared" si="30"/>
        <v>HS</v>
      </c>
      <c r="L100" s="75">
        <f t="shared" si="32"/>
        <v>1</v>
      </c>
      <c r="M100" s="84">
        <f t="shared" si="40"/>
        <v>148.46263875</v>
      </c>
      <c r="N100" s="45">
        <f t="shared" si="33"/>
        <v>0.99472661227282111</v>
      </c>
      <c r="O100" s="75" t="str">
        <f t="shared" si="31"/>
        <v>HS</v>
      </c>
      <c r="P100" s="75">
        <f t="shared" si="34"/>
        <v>1</v>
      </c>
      <c r="Q100" s="84">
        <f t="shared" si="41"/>
        <v>654.72023688750005</v>
      </c>
      <c r="R100" s="45">
        <f t="shared" si="35"/>
        <v>0.99708860088511919</v>
      </c>
      <c r="T100" s="79" t="str">
        <f t="shared" si="36"/>
        <v>HS</v>
      </c>
      <c r="U100" s="79">
        <f t="shared" si="37"/>
        <v>1</v>
      </c>
      <c r="V100" s="80">
        <f t="shared" si="38"/>
        <v>654.72023688750005</v>
      </c>
      <c r="W100" s="94"/>
      <c r="X100" s="94"/>
      <c r="Y100" s="94">
        <f t="shared" si="39"/>
        <v>1</v>
      </c>
    </row>
    <row r="101" spans="2:31" ht="11.25" customHeight="1">
      <c r="B101" s="88" t="s">
        <v>44</v>
      </c>
      <c r="C101" s="75">
        <f>COUNTIFS(Tratamientos!$V$3:$V$259,Análisis!$B$92,Tratamientos!$J$3:$J$259,Análisis!B101)</f>
        <v>0</v>
      </c>
      <c r="D101" s="84">
        <f>SUMIFS(Tratamientos!$R$3:$R$259,Tratamientos!$V$3:$V$259,Análisis!$B$92,Tratamientos!$J$3:$J$259,Análisis!B101)</f>
        <v>0</v>
      </c>
      <c r="E101" s="84">
        <f>SUMIFS(Tratamientos!$S$3:$S$259,Tratamientos!$V$3:$V$259,Análisis!$B$92,Tratamientos!$J$3:$J$259,Análisis!B101)</f>
        <v>0</v>
      </c>
      <c r="F101" s="94" t="str">
        <f>VLOOKUP(B101,LP!$B:$J,9,0)</f>
        <v>RT</v>
      </c>
      <c r="G101" s="95">
        <f t="shared" si="28"/>
        <v>0</v>
      </c>
      <c r="H101" s="95">
        <f t="shared" si="29"/>
        <v>0</v>
      </c>
      <c r="K101" s="75" t="str">
        <f t="shared" si="30"/>
        <v>IC</v>
      </c>
      <c r="L101" s="75">
        <f t="shared" si="32"/>
        <v>2</v>
      </c>
      <c r="M101" s="84">
        <f t="shared" si="40"/>
        <v>75.688800000000015</v>
      </c>
      <c r="N101" s="45">
        <f t="shared" si="33"/>
        <v>0.99999999999999989</v>
      </c>
      <c r="O101" s="75" t="str">
        <f t="shared" si="31"/>
        <v>IC</v>
      </c>
      <c r="P101" s="75">
        <f t="shared" si="34"/>
        <v>2</v>
      </c>
      <c r="Q101" s="84">
        <f t="shared" si="41"/>
        <v>165.75847200000004</v>
      </c>
      <c r="R101" s="45">
        <f t="shared" si="35"/>
        <v>1.0000000000000002</v>
      </c>
      <c r="S101" s="101">
        <f>R101</f>
        <v>1.0000000000000002</v>
      </c>
      <c r="T101" s="79" t="str">
        <f t="shared" si="36"/>
        <v>IC</v>
      </c>
      <c r="U101" s="79">
        <f t="shared" si="37"/>
        <v>2</v>
      </c>
      <c r="V101" s="80">
        <f t="shared" si="38"/>
        <v>165.75847200000004</v>
      </c>
      <c r="W101" s="94"/>
      <c r="X101" s="94"/>
      <c r="Y101" s="94">
        <f t="shared" si="39"/>
        <v>2</v>
      </c>
    </row>
    <row r="102" spans="2:31" ht="15">
      <c r="B102" s="88" t="s">
        <v>156</v>
      </c>
      <c r="C102" s="75">
        <f>COUNTIFS(Tratamientos!$V$3:$V$259,Análisis!$B$92,Tratamientos!$J$3:$J$259,Análisis!B102)</f>
        <v>0</v>
      </c>
      <c r="D102" s="84">
        <f>SUMIFS(Tratamientos!$R$3:$R$259,Tratamientos!$V$3:$V$259,Análisis!$B$92,Tratamientos!$J$3:$J$259,Análisis!B102)</f>
        <v>0</v>
      </c>
      <c r="E102" s="84">
        <f>SUMIFS(Tratamientos!$S$3:$S$259,Tratamientos!$V$3:$V$259,Análisis!$B$92,Tratamientos!$J$3:$J$259,Análisis!B102)</f>
        <v>0</v>
      </c>
      <c r="F102" s="94" t="str">
        <f>VLOOKUP(B102,LP!$B:$J,9,0)</f>
        <v>IC/CY</v>
      </c>
      <c r="G102" s="95">
        <f t="shared" si="28"/>
        <v>0</v>
      </c>
      <c r="H102" s="95">
        <f t="shared" si="29"/>
        <v>0</v>
      </c>
      <c r="K102" s="75" t="str">
        <f t="shared" si="30"/>
        <v>BX</v>
      </c>
      <c r="L102" s="75">
        <f t="shared" si="32"/>
        <v>0</v>
      </c>
      <c r="M102" s="84">
        <f t="shared" si="40"/>
        <v>0</v>
      </c>
      <c r="N102" s="45">
        <f t="shared" si="33"/>
        <v>0.99999999999999989</v>
      </c>
      <c r="O102" s="75" t="str">
        <f t="shared" si="31"/>
        <v>BX</v>
      </c>
      <c r="P102" s="75">
        <f t="shared" si="34"/>
        <v>0</v>
      </c>
      <c r="Q102" s="84">
        <f t="shared" si="41"/>
        <v>0</v>
      </c>
      <c r="R102" s="45">
        <f t="shared" si="35"/>
        <v>1.0000000000000002</v>
      </c>
      <c r="S102" s="49" t="str">
        <f t="shared" ref="S102:S110" si="42">IF(R102&lt;=0.9,O102,"")</f>
        <v/>
      </c>
      <c r="T102" s="79" t="str">
        <f t="shared" ref="T102:T110" si="43">IF(R102&lt;=0.9,O102,"")</f>
        <v/>
      </c>
      <c r="U102" s="79" t="str">
        <f t="shared" ref="U102:U110" si="44">IF(R102&lt;=0.9,P102,"")</f>
        <v/>
      </c>
      <c r="V102" s="80" t="str">
        <f t="shared" ref="V102:V110" si="45">IF(R102&lt;=0.9,Q102,"")</f>
        <v/>
      </c>
      <c r="W102" s="94"/>
      <c r="X102" s="100"/>
      <c r="Y102" s="94" t="str">
        <f t="shared" si="39"/>
        <v/>
      </c>
      <c r="Z102"/>
      <c r="AA102"/>
      <c r="AB102"/>
      <c r="AC102"/>
      <c r="AD102"/>
      <c r="AE102"/>
    </row>
    <row r="103" spans="2:31" ht="15">
      <c r="B103" s="88" t="s">
        <v>111</v>
      </c>
      <c r="C103" s="75">
        <f>COUNTIFS(Tratamientos!$V$3:$V$259,Análisis!$B$92,Tratamientos!$J$3:$J$259,Análisis!B103)</f>
        <v>0</v>
      </c>
      <c r="D103" s="84">
        <f>SUMIFS(Tratamientos!$R$3:$R$259,Tratamientos!$V$3:$V$259,Análisis!$B$92,Tratamientos!$J$3:$J$259,Análisis!B103)</f>
        <v>0</v>
      </c>
      <c r="E103" s="84">
        <f>SUMIFS(Tratamientos!$S$3:$S$259,Tratamientos!$V$3:$V$259,Análisis!$B$92,Tratamientos!$J$3:$J$259,Análisis!B103)</f>
        <v>0</v>
      </c>
      <c r="F103" s="94" t="str">
        <f>VLOOKUP(B103,LP!$B:$J,9,0)</f>
        <v>FB</v>
      </c>
      <c r="G103" s="95">
        <f t="shared" si="28"/>
        <v>0</v>
      </c>
      <c r="H103" s="95">
        <f t="shared" si="29"/>
        <v>0</v>
      </c>
      <c r="K103" s="75" t="str">
        <f t="shared" si="30"/>
        <v>BX</v>
      </c>
      <c r="L103" s="75">
        <f t="shared" si="32"/>
        <v>0</v>
      </c>
      <c r="M103" s="84">
        <f t="shared" si="40"/>
        <v>0</v>
      </c>
      <c r="N103" s="45">
        <f t="shared" si="33"/>
        <v>0.99999999999999989</v>
      </c>
      <c r="O103" s="75" t="str">
        <f t="shared" si="31"/>
        <v>BX</v>
      </c>
      <c r="P103" s="75">
        <f t="shared" si="34"/>
        <v>0</v>
      </c>
      <c r="Q103" s="84">
        <f t="shared" si="41"/>
        <v>0</v>
      </c>
      <c r="R103" s="45">
        <f t="shared" si="35"/>
        <v>1.0000000000000002</v>
      </c>
      <c r="S103" s="49" t="str">
        <f t="shared" si="42"/>
        <v/>
      </c>
      <c r="T103" s="79" t="str">
        <f t="shared" si="43"/>
        <v/>
      </c>
      <c r="U103" s="79" t="str">
        <f t="shared" si="44"/>
        <v/>
      </c>
      <c r="V103" s="80" t="str">
        <f t="shared" si="45"/>
        <v/>
      </c>
      <c r="W103" s="94"/>
      <c r="X103" s="100"/>
      <c r="Y103" s="94" t="str">
        <f t="shared" si="39"/>
        <v/>
      </c>
      <c r="Z103"/>
      <c r="AA103"/>
      <c r="AB103"/>
      <c r="AC103"/>
      <c r="AD103"/>
      <c r="AE103"/>
    </row>
    <row r="104" spans="2:31" ht="15">
      <c r="B104" s="88" t="s">
        <v>29</v>
      </c>
      <c r="C104" s="75">
        <f>COUNTIFS(Tratamientos!$V$3:$V$259,Análisis!$B$92,Tratamientos!$J$3:$J$259,Análisis!B104)</f>
        <v>1</v>
      </c>
      <c r="D104" s="84">
        <f>SUMIFS(Tratamientos!$R$3:$R$259,Tratamientos!$V$3:$V$259,Análisis!$B$92,Tratamientos!$J$3:$J$259,Análisis!B104)</f>
        <v>148.46263875</v>
      </c>
      <c r="E104" s="84">
        <f>SUMIFS(Tratamientos!$S$3:$S$259,Tratamientos!$V$3:$V$259,Análisis!$B$92,Tratamientos!$J$3:$J$259,Análisis!B104)</f>
        <v>654.72023688750005</v>
      </c>
      <c r="F104" s="94" t="str">
        <f>VLOOKUP(B104,LP!$B:$J,9,0)</f>
        <v>HS</v>
      </c>
      <c r="G104" s="95">
        <f t="shared" si="28"/>
        <v>1</v>
      </c>
      <c r="H104" s="95">
        <f t="shared" si="29"/>
        <v>148.46263875</v>
      </c>
      <c r="K104" s="75" t="str">
        <f t="shared" si="30"/>
        <v>BX</v>
      </c>
      <c r="L104" s="75">
        <f t="shared" si="32"/>
        <v>0</v>
      </c>
      <c r="M104" s="84">
        <f t="shared" si="40"/>
        <v>0</v>
      </c>
      <c r="N104" s="45">
        <f t="shared" si="33"/>
        <v>0.99999999999999989</v>
      </c>
      <c r="O104" s="75" t="str">
        <f t="shared" si="31"/>
        <v>BX</v>
      </c>
      <c r="P104" s="75">
        <f t="shared" si="34"/>
        <v>0</v>
      </c>
      <c r="Q104" s="84">
        <f t="shared" si="41"/>
        <v>0</v>
      </c>
      <c r="R104" s="45">
        <f t="shared" si="35"/>
        <v>1.0000000000000002</v>
      </c>
      <c r="S104" s="49" t="str">
        <f t="shared" si="42"/>
        <v/>
      </c>
      <c r="T104" s="79" t="str">
        <f t="shared" si="43"/>
        <v/>
      </c>
      <c r="U104" s="79" t="str">
        <f t="shared" si="44"/>
        <v/>
      </c>
      <c r="V104" s="80" t="str">
        <f t="shared" si="45"/>
        <v/>
      </c>
      <c r="W104" s="94"/>
      <c r="X104" s="100"/>
      <c r="Y104" s="94" t="str">
        <f t="shared" si="39"/>
        <v/>
      </c>
      <c r="Z104"/>
      <c r="AA104"/>
      <c r="AB104"/>
      <c r="AC104"/>
      <c r="AD104"/>
      <c r="AE104"/>
    </row>
    <row r="105" spans="2:31" ht="15">
      <c r="B105" s="88" t="s">
        <v>78</v>
      </c>
      <c r="C105" s="75">
        <f>COUNTIFS(Tratamientos!$V$3:$V$259,Análisis!$B$92,Tratamientos!$J$3:$J$259,Análisis!B105)</f>
        <v>0</v>
      </c>
      <c r="D105" s="84">
        <f>SUMIFS(Tratamientos!$R$3:$R$259,Tratamientos!$V$3:$V$259,Análisis!$B$92,Tratamientos!$J$3:$J$259,Análisis!B105)</f>
        <v>0</v>
      </c>
      <c r="E105" s="84">
        <f>SUMIFS(Tratamientos!$S$3:$S$259,Tratamientos!$V$3:$V$259,Análisis!$B$92,Tratamientos!$J$3:$J$259,Análisis!B105)</f>
        <v>0</v>
      </c>
      <c r="F105" s="94" t="str">
        <f>VLOOKUP(B105,LP!$B:$J,9,0)</f>
        <v>FB</v>
      </c>
      <c r="G105" s="95">
        <f t="shared" si="28"/>
        <v>0</v>
      </c>
      <c r="H105" s="95">
        <f t="shared" si="29"/>
        <v>0</v>
      </c>
      <c r="K105" s="75" t="str">
        <f t="shared" si="30"/>
        <v>BX</v>
      </c>
      <c r="L105" s="75">
        <f t="shared" si="32"/>
        <v>0</v>
      </c>
      <c r="M105" s="84">
        <f t="shared" si="40"/>
        <v>0</v>
      </c>
      <c r="N105" s="45">
        <f t="shared" si="33"/>
        <v>0.99999999999999989</v>
      </c>
      <c r="O105" s="75" t="str">
        <f t="shared" si="31"/>
        <v>BX</v>
      </c>
      <c r="P105" s="75">
        <f t="shared" si="34"/>
        <v>0</v>
      </c>
      <c r="Q105" s="84">
        <f t="shared" si="41"/>
        <v>0</v>
      </c>
      <c r="R105" s="45">
        <f t="shared" si="35"/>
        <v>1.0000000000000002</v>
      </c>
      <c r="S105" s="49" t="str">
        <f t="shared" si="42"/>
        <v/>
      </c>
      <c r="T105" s="79" t="str">
        <f t="shared" si="43"/>
        <v/>
      </c>
      <c r="U105" s="79" t="str">
        <f t="shared" si="44"/>
        <v/>
      </c>
      <c r="V105" s="80" t="str">
        <f t="shared" si="45"/>
        <v/>
      </c>
      <c r="W105" s="94"/>
      <c r="X105" s="100"/>
      <c r="Y105" s="94" t="str">
        <f t="shared" si="39"/>
        <v/>
      </c>
      <c r="Z105"/>
      <c r="AA105"/>
      <c r="AB105"/>
      <c r="AC105"/>
      <c r="AD105"/>
      <c r="AE105"/>
    </row>
    <row r="106" spans="2:31" ht="15">
      <c r="B106" s="88" t="s">
        <v>19</v>
      </c>
      <c r="C106" s="75">
        <f>COUNTIFS(Tratamientos!$V$3:$V$259,Análisis!$B$92,Tratamientos!$J$3:$J$259,Análisis!B106)</f>
        <v>0</v>
      </c>
      <c r="D106" s="84">
        <f>SUMIFS(Tratamientos!$R$3:$R$259,Tratamientos!$V$3:$V$259,Análisis!$B$92,Tratamientos!$J$3:$J$259,Análisis!B106)</f>
        <v>0</v>
      </c>
      <c r="E106" s="84">
        <f>SUMIFS(Tratamientos!$S$3:$S$259,Tratamientos!$V$3:$V$259,Análisis!$B$92,Tratamientos!$J$3:$J$259,Análisis!B106)</f>
        <v>0</v>
      </c>
      <c r="F106" s="94" t="str">
        <f>VLOOKUP(B106,LP!$B:$J,9,0)</f>
        <v>CY</v>
      </c>
      <c r="G106" s="95">
        <f t="shared" si="28"/>
        <v>0</v>
      </c>
      <c r="H106" s="95">
        <f t="shared" si="29"/>
        <v>0</v>
      </c>
      <c r="K106" s="75" t="str">
        <f t="shared" si="30"/>
        <v>BX</v>
      </c>
      <c r="L106" s="75">
        <f t="shared" si="32"/>
        <v>0</v>
      </c>
      <c r="M106" s="84">
        <f t="shared" si="40"/>
        <v>0</v>
      </c>
      <c r="N106" s="45">
        <f t="shared" si="33"/>
        <v>0.99999999999999989</v>
      </c>
      <c r="O106" s="75" t="str">
        <f t="shared" si="31"/>
        <v>BX</v>
      </c>
      <c r="P106" s="75">
        <f t="shared" si="34"/>
        <v>0</v>
      </c>
      <c r="Q106" s="84">
        <f t="shared" si="41"/>
        <v>0</v>
      </c>
      <c r="R106" s="45">
        <f t="shared" si="35"/>
        <v>1.0000000000000002</v>
      </c>
      <c r="S106" s="49" t="str">
        <f t="shared" si="42"/>
        <v/>
      </c>
      <c r="T106" s="79" t="str">
        <f t="shared" si="43"/>
        <v/>
      </c>
      <c r="U106" s="79" t="str">
        <f t="shared" si="44"/>
        <v/>
      </c>
      <c r="V106" s="80" t="str">
        <f t="shared" si="45"/>
        <v/>
      </c>
      <c r="W106" s="94"/>
      <c r="X106" s="100"/>
      <c r="Y106" s="94" t="str">
        <f t="shared" si="39"/>
        <v/>
      </c>
      <c r="Z106"/>
      <c r="AA106"/>
      <c r="AB106"/>
      <c r="AC106"/>
      <c r="AD106"/>
      <c r="AE106"/>
    </row>
    <row r="107" spans="2:31" ht="15">
      <c r="B107" s="88" t="s">
        <v>80</v>
      </c>
      <c r="C107" s="75">
        <f>COUNTIFS(Tratamientos!$V$3:$V$259,Análisis!$B$92,Tratamientos!$J$3:$J$259,Análisis!B107)</f>
        <v>0</v>
      </c>
      <c r="D107" s="84">
        <f>SUMIFS(Tratamientos!$R$3:$R$259,Tratamientos!$V$3:$V$259,Análisis!$B$92,Tratamientos!$J$3:$J$259,Análisis!B107)</f>
        <v>0</v>
      </c>
      <c r="E107" s="84">
        <f>SUMIFS(Tratamientos!$S$3:$S$259,Tratamientos!$V$3:$V$259,Análisis!$B$92,Tratamientos!$J$3:$J$259,Análisis!B107)</f>
        <v>0</v>
      </c>
      <c r="F107" s="94" t="str">
        <f>VLOOKUP(B107,LP!$B:$J,9,0)</f>
        <v>BS</v>
      </c>
      <c r="G107" s="95">
        <f t="shared" si="28"/>
        <v>0</v>
      </c>
      <c r="H107" s="95">
        <f t="shared" si="29"/>
        <v>0</v>
      </c>
      <c r="K107" s="75" t="str">
        <f t="shared" si="30"/>
        <v>BX</v>
      </c>
      <c r="L107" s="75">
        <f t="shared" si="32"/>
        <v>0</v>
      </c>
      <c r="M107" s="84">
        <f t="shared" si="40"/>
        <v>0</v>
      </c>
      <c r="N107" s="45">
        <f t="shared" si="33"/>
        <v>0.99999999999999989</v>
      </c>
      <c r="O107" s="75" t="str">
        <f t="shared" si="31"/>
        <v>BX</v>
      </c>
      <c r="P107" s="75">
        <f t="shared" si="34"/>
        <v>0</v>
      </c>
      <c r="Q107" s="84">
        <f t="shared" si="41"/>
        <v>0</v>
      </c>
      <c r="R107" s="45">
        <f t="shared" si="35"/>
        <v>1.0000000000000002</v>
      </c>
      <c r="S107" s="49" t="str">
        <f t="shared" si="42"/>
        <v/>
      </c>
      <c r="T107" s="79" t="str">
        <f t="shared" si="43"/>
        <v/>
      </c>
      <c r="U107" s="79" t="str">
        <f t="shared" si="44"/>
        <v/>
      </c>
      <c r="V107" s="80" t="str">
        <f t="shared" si="45"/>
        <v/>
      </c>
      <c r="W107" s="94"/>
      <c r="X107" s="100"/>
      <c r="Y107" s="94" t="str">
        <f t="shared" si="39"/>
        <v/>
      </c>
      <c r="Z107"/>
      <c r="AA107"/>
      <c r="AB107"/>
      <c r="AC107"/>
      <c r="AD107"/>
      <c r="AE107"/>
    </row>
    <row r="108" spans="2:31" ht="15">
      <c r="B108" s="88" t="s">
        <v>152</v>
      </c>
      <c r="C108" s="75">
        <f>COUNTIFS(Tratamientos!$V$3:$V$259,Análisis!$B$92,Tratamientos!$J$3:$J$259,Análisis!B108)</f>
        <v>0</v>
      </c>
      <c r="D108" s="84">
        <f>SUMIFS(Tratamientos!$R$3:$R$259,Tratamientos!$V$3:$V$259,Análisis!$B$92,Tratamientos!$J$3:$J$259,Análisis!B108)</f>
        <v>0</v>
      </c>
      <c r="E108" s="84">
        <f>SUMIFS(Tratamientos!$S$3:$S$259,Tratamientos!$V$3:$V$259,Análisis!$B$92,Tratamientos!$J$3:$J$259,Análisis!B108)</f>
        <v>0</v>
      </c>
      <c r="F108" s="94" t="str">
        <f>VLOOKUP(B108,LP!$B:$J,9,0)</f>
        <v>RV</v>
      </c>
      <c r="G108" s="95">
        <f t="shared" si="28"/>
        <v>0</v>
      </c>
      <c r="H108" s="95">
        <f t="shared" si="29"/>
        <v>0</v>
      </c>
      <c r="K108" s="75" t="str">
        <f t="shared" si="30"/>
        <v>BX</v>
      </c>
      <c r="L108" s="75">
        <f t="shared" si="32"/>
        <v>0</v>
      </c>
      <c r="M108" s="84">
        <f t="shared" si="40"/>
        <v>0</v>
      </c>
      <c r="N108" s="45">
        <f t="shared" si="33"/>
        <v>0.99999999999999989</v>
      </c>
      <c r="O108" s="75" t="str">
        <f t="shared" si="31"/>
        <v>BX</v>
      </c>
      <c r="P108" s="75">
        <f t="shared" si="34"/>
        <v>0</v>
      </c>
      <c r="Q108" s="84">
        <f t="shared" si="41"/>
        <v>0</v>
      </c>
      <c r="R108" s="45">
        <f t="shared" si="35"/>
        <v>1.0000000000000002</v>
      </c>
      <c r="S108" s="49" t="str">
        <f t="shared" si="42"/>
        <v/>
      </c>
      <c r="T108" s="79" t="str">
        <f t="shared" si="43"/>
        <v/>
      </c>
      <c r="U108" s="79" t="str">
        <f t="shared" si="44"/>
        <v/>
      </c>
      <c r="V108" s="80" t="str">
        <f t="shared" si="45"/>
        <v/>
      </c>
      <c r="W108" s="94"/>
      <c r="X108" s="100"/>
      <c r="Y108" s="94" t="str">
        <f t="shared" si="39"/>
        <v/>
      </c>
      <c r="Z108"/>
      <c r="AA108"/>
      <c r="AB108"/>
      <c r="AC108"/>
      <c r="AD108"/>
      <c r="AE108"/>
    </row>
    <row r="109" spans="2:31" ht="15">
      <c r="B109" s="88" t="s">
        <v>58</v>
      </c>
      <c r="C109" s="75">
        <f>COUNTIFS(Tratamientos!$V$3:$V$259,Análisis!$B$92,Tratamientos!$J$3:$J$259,Análisis!B109)</f>
        <v>0</v>
      </c>
      <c r="D109" s="84">
        <f>SUMIFS(Tratamientos!$R$3:$R$259,Tratamientos!$V$3:$V$259,Análisis!$B$92,Tratamientos!$J$3:$J$259,Análisis!B109)</f>
        <v>0</v>
      </c>
      <c r="E109" s="84">
        <f>SUMIFS(Tratamientos!$S$3:$S$259,Tratamientos!$V$3:$V$259,Análisis!$B$92,Tratamientos!$J$3:$J$259,Análisis!B109)</f>
        <v>0</v>
      </c>
      <c r="F109" s="94" t="str">
        <f>VLOOKUP(B109,LP!$B:$J,9,0)</f>
        <v>SO</v>
      </c>
      <c r="G109" s="95">
        <f t="shared" si="28"/>
        <v>0</v>
      </c>
      <c r="H109" s="95">
        <f t="shared" si="29"/>
        <v>0</v>
      </c>
      <c r="K109" s="75" t="str">
        <f t="shared" si="30"/>
        <v>BX</v>
      </c>
      <c r="L109" s="75">
        <f t="shared" si="32"/>
        <v>0</v>
      </c>
      <c r="M109" s="84">
        <f t="shared" si="40"/>
        <v>0</v>
      </c>
      <c r="N109" s="45">
        <f t="shared" si="33"/>
        <v>0.99999999999999989</v>
      </c>
      <c r="O109" s="75" t="str">
        <f t="shared" si="31"/>
        <v>BX</v>
      </c>
      <c r="P109" s="75">
        <f t="shared" si="34"/>
        <v>0</v>
      </c>
      <c r="Q109" s="84">
        <f t="shared" si="41"/>
        <v>0</v>
      </c>
      <c r="R109" s="45">
        <f t="shared" si="35"/>
        <v>1.0000000000000002</v>
      </c>
      <c r="S109" s="49" t="str">
        <f t="shared" si="42"/>
        <v/>
      </c>
      <c r="T109" s="79" t="str">
        <f t="shared" si="43"/>
        <v/>
      </c>
      <c r="U109" s="79" t="str">
        <f t="shared" si="44"/>
        <v/>
      </c>
      <c r="V109" s="80" t="str">
        <f t="shared" si="45"/>
        <v/>
      </c>
      <c r="W109" s="94"/>
      <c r="X109" s="100"/>
      <c r="Y109" s="94" t="str">
        <f t="shared" si="39"/>
        <v/>
      </c>
      <c r="Z109"/>
      <c r="AA109"/>
      <c r="AB109"/>
      <c r="AC109"/>
      <c r="AD109"/>
      <c r="AE109"/>
    </row>
    <row r="110" spans="2:31" ht="15">
      <c r="B110" s="93"/>
      <c r="C110" s="92">
        <f>SUM(C94:C109)</f>
        <v>27</v>
      </c>
      <c r="D110" s="92">
        <f>SUM(D94:D109)</f>
        <v>14352.97458025</v>
      </c>
      <c r="E110" s="92">
        <f>SUM(E94:E109)</f>
        <v>56934.300471812501</v>
      </c>
      <c r="K110" s="75" t="str">
        <f t="shared" si="30"/>
        <v>BX</v>
      </c>
      <c r="L110" s="75">
        <f t="shared" si="32"/>
        <v>0</v>
      </c>
      <c r="M110" s="84">
        <f t="shared" si="40"/>
        <v>0</v>
      </c>
      <c r="N110" s="45">
        <f t="shared" si="33"/>
        <v>0.99999999999999989</v>
      </c>
      <c r="O110" s="75" t="str">
        <f t="shared" si="31"/>
        <v>BX</v>
      </c>
      <c r="P110" s="75">
        <f t="shared" si="34"/>
        <v>0</v>
      </c>
      <c r="Q110" s="84">
        <f t="shared" si="41"/>
        <v>0</v>
      </c>
      <c r="R110" s="45">
        <f t="shared" si="35"/>
        <v>1.0000000000000002</v>
      </c>
      <c r="S110" s="49" t="str">
        <f t="shared" si="42"/>
        <v/>
      </c>
      <c r="T110" s="79" t="str">
        <f t="shared" si="43"/>
        <v/>
      </c>
      <c r="U110" s="79" t="str">
        <f t="shared" si="44"/>
        <v/>
      </c>
      <c r="V110" s="80" t="str">
        <f t="shared" si="45"/>
        <v/>
      </c>
      <c r="W110" s="94"/>
      <c r="X110" s="100"/>
      <c r="Y110" s="94" t="str">
        <f t="shared" si="39"/>
        <v/>
      </c>
      <c r="Z110"/>
      <c r="AA110"/>
      <c r="AB110"/>
      <c r="AC110"/>
      <c r="AD110"/>
      <c r="AE110"/>
    </row>
    <row r="111" spans="2:31" ht="15">
      <c r="K111" s="92"/>
      <c r="L111" s="92">
        <f t="shared" ref="L111:M111" si="46">SUM(L95:L110)</f>
        <v>27</v>
      </c>
      <c r="M111" s="92">
        <f t="shared" si="46"/>
        <v>14352.97458025</v>
      </c>
      <c r="N111" s="92"/>
      <c r="O111" s="92"/>
      <c r="P111" s="92">
        <f t="shared" ref="P111:Q111" si="47">SUM(P95:P110)</f>
        <v>27</v>
      </c>
      <c r="Q111" s="92">
        <f t="shared" si="47"/>
        <v>56934.300471812501</v>
      </c>
      <c r="R111" s="92"/>
      <c r="T111" s="91" t="str">
        <f t="shared" ref="T111:T120" si="48">IF(R101&lt;=0.9,Q101,"")</f>
        <v/>
      </c>
      <c r="X111"/>
      <c r="Y111"/>
      <c r="Z111"/>
    </row>
    <row r="112" spans="2:31" ht="15">
      <c r="T112" s="91" t="str">
        <f t="shared" si="48"/>
        <v/>
      </c>
      <c r="X112"/>
      <c r="Y112"/>
      <c r="Z112"/>
    </row>
    <row r="113" spans="20:26" ht="15">
      <c r="T113" s="91" t="str">
        <f t="shared" si="48"/>
        <v/>
      </c>
      <c r="X113"/>
      <c r="Y113"/>
      <c r="Z113"/>
    </row>
    <row r="114" spans="20:26" ht="15">
      <c r="T114" s="91" t="str">
        <f t="shared" si="48"/>
        <v/>
      </c>
      <c r="X114"/>
      <c r="Y114"/>
      <c r="Z114"/>
    </row>
    <row r="115" spans="20:26" ht="15">
      <c r="T115" s="91" t="str">
        <f t="shared" si="48"/>
        <v/>
      </c>
      <c r="X115"/>
      <c r="Y115"/>
      <c r="Z115"/>
    </row>
    <row r="116" spans="20:26" ht="15">
      <c r="T116" s="91" t="str">
        <f t="shared" si="48"/>
        <v/>
      </c>
      <c r="X116"/>
      <c r="Y116"/>
      <c r="Z116"/>
    </row>
    <row r="117" spans="20:26" ht="15">
      <c r="T117" s="91" t="str">
        <f t="shared" si="48"/>
        <v/>
      </c>
      <c r="X117"/>
      <c r="Y117"/>
      <c r="Z117"/>
    </row>
    <row r="118" spans="20:26" ht="15">
      <c r="T118" s="91" t="str">
        <f t="shared" si="48"/>
        <v/>
      </c>
      <c r="X118"/>
      <c r="Y118"/>
      <c r="Z118"/>
    </row>
    <row r="119" spans="20:26" ht="15">
      <c r="T119" s="91" t="str">
        <f t="shared" si="48"/>
        <v/>
      </c>
      <c r="X119"/>
      <c r="Y119"/>
      <c r="Z119"/>
    </row>
    <row r="120" spans="20:26">
      <c r="T120" s="91" t="str">
        <f t="shared" si="48"/>
        <v/>
      </c>
    </row>
  </sheetData>
  <autoFilter ref="A3:H35" xr:uid="{00000000-0009-0000-0000-000007000000}"/>
  <mergeCells count="13">
    <mergeCell ref="K93:N93"/>
    <mergeCell ref="O93:R93"/>
    <mergeCell ref="K45:M45"/>
    <mergeCell ref="N45:P45"/>
    <mergeCell ref="J1:X1"/>
    <mergeCell ref="J43:X44"/>
    <mergeCell ref="K2:M2"/>
    <mergeCell ref="N2:P2"/>
    <mergeCell ref="Y3:Z3"/>
    <mergeCell ref="AA3:AB3"/>
    <mergeCell ref="Y46:Z46"/>
    <mergeCell ref="AA46:AB46"/>
    <mergeCell ref="J89:X90"/>
  </mergeCells>
  <pageMargins left="0.7" right="0.7" top="0.75" bottom="0.75" header="0.3" footer="0.3"/>
  <pageSetup paperSize="9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CFAFEA61DE254B44B363149992BD50B3" ma:contentTypeVersion="15" ma:contentTypeDescription="Crear nuevo documento." ma:contentTypeScope="" ma:versionID="a7687b2abb2e5b2b7cbfea3f4e3fb7e1">
  <xsd:schema xmlns:xsd="http://www.w3.org/2001/XMLSchema" xmlns:xs="http://www.w3.org/2001/XMLSchema" xmlns:p="http://schemas.microsoft.com/office/2006/metadata/properties" xmlns:ns2="730269a7-69c5-483f-a552-e74dab880ae2" xmlns:ns3="40de77e2-37bb-4c7a-ab4d-547915d99553" targetNamespace="http://schemas.microsoft.com/office/2006/metadata/properties" ma:root="true" ma:fieldsID="a66b2b815a291b54a697ebfda97dfbb7" ns2:_="" ns3:_="">
    <xsd:import namespace="730269a7-69c5-483f-a552-e74dab880ae2"/>
    <xsd:import namespace="40de77e2-37bb-4c7a-ab4d-547915d99553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30269a7-69c5-483f-a552-e74dab880ae2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lcf76f155ced4ddcb4097134ff3c332f" ma:index="11" nillable="true" ma:taxonomy="true" ma:internalName="lcf76f155ced4ddcb4097134ff3c332f" ma:taxonomyFieldName="MediaServiceImageTags" ma:displayName="Etiquetas de imagen" ma:readOnly="false" ma:fieldId="{5cf76f15-5ced-4ddc-b409-7134ff3c332f}" ma:taxonomyMulti="true" ma:sspId="dbf393ec-c584-4b8d-8e77-20dadb2446ee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3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7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8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0de77e2-37bb-4c7a-ab4d-547915d99553" elementFormDefault="qualified">
    <xsd:import namespace="http://schemas.microsoft.com/office/2006/documentManagement/types"/>
    <xsd:import namespace="http://schemas.microsoft.com/office/infopath/2007/PartnerControls"/>
    <xsd:element name="TaxCatchAll" ma:index="12" nillable="true" ma:displayName="Taxonomy Catch All Column" ma:hidden="true" ma:list="{24e01dc6-12f5-4119-ba22-46abcd2e9c3e}" ma:internalName="TaxCatchAll" ma:showField="CatchAllData" ma:web="40de77e2-37bb-4c7a-ab4d-547915d99553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9" nillable="true" ma:displayName="Compartido con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0" nillable="true" ma:displayName="Detalles de uso compartido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ni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31314FA1-D919-4F22-9343-F75D25C170B8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44644614-391C-42F4-8ACD-966DE9A8B2B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30269a7-69c5-483f-a552-e74dab880ae2"/>
    <ds:schemaRef ds:uri="40de77e2-37bb-4c7a-ab4d-547915d9955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11</vt:i4>
      </vt:variant>
    </vt:vector>
  </HeadingPairs>
  <TitlesOfParts>
    <vt:vector size="11" baseType="lpstr">
      <vt:lpstr>Mercado YPF</vt:lpstr>
      <vt:lpstr>Hoja1</vt:lpstr>
      <vt:lpstr>Tratamientos</vt:lpstr>
      <vt:lpstr>BCConc</vt:lpstr>
      <vt:lpstr>Nov</vt:lpstr>
      <vt:lpstr>Dic</vt:lpstr>
      <vt:lpstr>EstimaciónYPF</vt:lpstr>
      <vt:lpstr>LP</vt:lpstr>
      <vt:lpstr>Análisis</vt:lpstr>
      <vt:lpstr>CtrlBat</vt:lpstr>
      <vt:lpstr>CtrlPozo</vt:lpstr>
    </vt:vector>
  </TitlesOfParts>
  <Company>Ecolab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Ocarez, Matias</dc:creator>
  <cp:lastModifiedBy>Bergerat, Juan Gabriel</cp:lastModifiedBy>
  <cp:lastPrinted>2024-03-07T20:19:33Z</cp:lastPrinted>
  <dcterms:created xsi:type="dcterms:W3CDTF">2017-12-22T14:22:24Z</dcterms:created>
  <dcterms:modified xsi:type="dcterms:W3CDTF">2024-03-08T13:06:21Z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228ef38c-4357-49c8-b2ae-c9cdaf411188_Enabled">
    <vt:lpwstr>True</vt:lpwstr>
  </property>
  <property fmtid="{D5CDD505-2E9C-101B-9397-08002B2CF9AE}" pid="3" name="MSIP_Label_228ef38c-4357-49c8-b2ae-c9cdaf411188_SiteId">
    <vt:lpwstr>038018c3-616c-4b46-ad9b-aa9007f701b5</vt:lpwstr>
  </property>
  <property fmtid="{D5CDD505-2E9C-101B-9397-08002B2CF9AE}" pid="4" name="MSIP_Label_228ef38c-4357-49c8-b2ae-c9cdaf411188_Owner">
    <vt:lpwstr>RY11633@grupo.ypf.com</vt:lpwstr>
  </property>
  <property fmtid="{D5CDD505-2E9C-101B-9397-08002B2CF9AE}" pid="5" name="MSIP_Label_228ef38c-4357-49c8-b2ae-c9cdaf411188_SetDate">
    <vt:lpwstr>2020-03-20T19:50:01.1400155Z</vt:lpwstr>
  </property>
  <property fmtid="{D5CDD505-2E9C-101B-9397-08002B2CF9AE}" pid="6" name="MSIP_Label_228ef38c-4357-49c8-b2ae-c9cdaf411188_Name">
    <vt:lpwstr>Personal</vt:lpwstr>
  </property>
  <property fmtid="{D5CDD505-2E9C-101B-9397-08002B2CF9AE}" pid="7" name="MSIP_Label_228ef38c-4357-49c8-b2ae-c9cdaf411188_Application">
    <vt:lpwstr>Microsoft Azure Information Protection</vt:lpwstr>
  </property>
  <property fmtid="{D5CDD505-2E9C-101B-9397-08002B2CF9AE}" pid="8" name="MSIP_Label_228ef38c-4357-49c8-b2ae-c9cdaf411188_ActionId">
    <vt:lpwstr>f9b5d380-7227-40c3-9e15-a30bad975b8b</vt:lpwstr>
  </property>
  <property fmtid="{D5CDD505-2E9C-101B-9397-08002B2CF9AE}" pid="9" name="MSIP_Label_228ef38c-4357-49c8-b2ae-c9cdaf411188_Extended_MSFT_Method">
    <vt:lpwstr>Manual</vt:lpwstr>
  </property>
  <property fmtid="{D5CDD505-2E9C-101B-9397-08002B2CF9AE}" pid="10" name="Sensitivity">
    <vt:lpwstr>Personal</vt:lpwstr>
  </property>
</Properties>
</file>